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externalLinks/externalLink29.xml" ContentType="application/vnd.openxmlformats-officedocument.spreadsheetml.externalLink+xml"/>
  <Override PartName="/xl/externalLinks/externalLink30.xml" ContentType="application/vnd.openxmlformats-officedocument.spreadsheetml.externalLink+xml"/>
  <Override PartName="/xl/externalLinks/externalLink31.xml" ContentType="application/vnd.openxmlformats-officedocument.spreadsheetml.externalLink+xml"/>
  <Override PartName="/xl/externalLinks/externalLink32.xml" ContentType="application/vnd.openxmlformats-officedocument.spreadsheetml.externalLink+xml"/>
  <Override PartName="/xl/externalLinks/externalLink33.xml" ContentType="application/vnd.openxmlformats-officedocument.spreadsheetml.externalLink+xml"/>
  <Override PartName="/xl/externalLinks/externalLink34.xml" ContentType="application/vnd.openxmlformats-officedocument.spreadsheetml.externalLink+xml"/>
  <Override PartName="/xl/externalLinks/externalLink35.xml" ContentType="application/vnd.openxmlformats-officedocument.spreadsheetml.externalLink+xml"/>
  <Override PartName="/xl/externalLinks/externalLink36.xml" ContentType="application/vnd.openxmlformats-officedocument.spreadsheetml.externalLink+xml"/>
  <Override PartName="/xl/externalLinks/externalLink37.xml" ContentType="application/vnd.openxmlformats-officedocument.spreadsheetml.externalLink+xml"/>
  <Override PartName="/xl/externalLinks/externalLink38.xml" ContentType="application/vnd.openxmlformats-officedocument.spreadsheetml.externalLink+xml"/>
  <Override PartName="/xl/externalLinks/externalLink39.xml" ContentType="application/vnd.openxmlformats-officedocument.spreadsheetml.externalLink+xml"/>
  <Override PartName="/xl/externalLinks/externalLink40.xml" ContentType="application/vnd.openxmlformats-officedocument.spreadsheetml.externalLink+xml"/>
  <Override PartName="/xl/externalLinks/externalLink41.xml" ContentType="application/vnd.openxmlformats-officedocument.spreadsheetml.externalLink+xml"/>
  <Override PartName="/xl/externalLinks/externalLink42.xml" ContentType="application/vnd.openxmlformats-officedocument.spreadsheetml.externalLink+xml"/>
  <Override PartName="/xl/externalLinks/externalLink43.xml" ContentType="application/vnd.openxmlformats-officedocument.spreadsheetml.externalLink+xml"/>
  <Override PartName="/xl/externalLinks/externalLink44.xml" ContentType="application/vnd.openxmlformats-officedocument.spreadsheetml.externalLink+xml"/>
  <Override PartName="/xl/externalLinks/externalLink45.xml" ContentType="application/vnd.openxmlformats-officedocument.spreadsheetml.externalLink+xml"/>
  <Override PartName="/xl/externalLinks/externalLink46.xml" ContentType="application/vnd.openxmlformats-officedocument.spreadsheetml.externalLink+xml"/>
  <Override PartName="/xl/externalLinks/externalLink47.xml" ContentType="application/vnd.openxmlformats-officedocument.spreadsheetml.externalLink+xml"/>
  <Override PartName="/xl/externalLinks/externalLink48.xml" ContentType="application/vnd.openxmlformats-officedocument.spreadsheetml.externalLink+xml"/>
  <Override PartName="/xl/externalLinks/externalLink49.xml" ContentType="application/vnd.openxmlformats-officedocument.spreadsheetml.externalLink+xml"/>
  <Override PartName="/xl/externalLinks/externalLink50.xml" ContentType="application/vnd.openxmlformats-officedocument.spreadsheetml.externalLink+xml"/>
  <Override PartName="/xl/externalLinks/externalLink51.xml" ContentType="application/vnd.openxmlformats-officedocument.spreadsheetml.externalLink+xml"/>
  <Override PartName="/xl/externalLinks/externalLink52.xml" ContentType="application/vnd.openxmlformats-officedocument.spreadsheetml.externalLink+xml"/>
  <Override PartName="/xl/externalLinks/externalLink53.xml" ContentType="application/vnd.openxmlformats-officedocument.spreadsheetml.externalLink+xml"/>
  <Override PartName="/xl/externalLinks/externalLink54.xml" ContentType="application/vnd.openxmlformats-officedocument.spreadsheetml.externalLink+xml"/>
  <Override PartName="/xl/externalLinks/externalLink55.xml" ContentType="application/vnd.openxmlformats-officedocument.spreadsheetml.externalLink+xml"/>
  <Override PartName="/xl/externalLinks/externalLink56.xml" ContentType="application/vnd.openxmlformats-officedocument.spreadsheetml.externalLink+xml"/>
  <Override PartName="/xl/externalLinks/externalLink57.xml" ContentType="application/vnd.openxmlformats-officedocument.spreadsheetml.externalLink+xml"/>
  <Override PartName="/xl/externalLinks/externalLink58.xml" ContentType="application/vnd.openxmlformats-officedocument.spreadsheetml.externalLink+xml"/>
  <Override PartName="/xl/externalLinks/externalLink59.xml" ContentType="application/vnd.openxmlformats-officedocument.spreadsheetml.externalLink+xml"/>
  <Override PartName="/xl/externalLinks/externalLink60.xml" ContentType="application/vnd.openxmlformats-officedocument.spreadsheetml.externalLink+xml"/>
  <Override PartName="/xl/externalLinks/externalLink61.xml" ContentType="application/vnd.openxmlformats-officedocument.spreadsheetml.externalLink+xml"/>
  <Override PartName="/xl/externalLinks/externalLink62.xml" ContentType="application/vnd.openxmlformats-officedocument.spreadsheetml.externalLink+xml"/>
  <Override PartName="/xl/externalLinks/externalLink63.xml" ContentType="application/vnd.openxmlformats-officedocument.spreadsheetml.externalLink+xml"/>
  <Override PartName="/xl/externalLinks/externalLink64.xml" ContentType="application/vnd.openxmlformats-officedocument.spreadsheetml.externalLink+xml"/>
  <Override PartName="/xl/externalLinks/externalLink65.xml" ContentType="application/vnd.openxmlformats-officedocument.spreadsheetml.externalLink+xml"/>
  <Override PartName="/xl/externalLinks/externalLink66.xml" ContentType="application/vnd.openxmlformats-officedocument.spreadsheetml.externalLink+xml"/>
  <Override PartName="/xl/externalLinks/externalLink67.xml" ContentType="application/vnd.openxmlformats-officedocument.spreadsheetml.externalLink+xml"/>
  <Override PartName="/xl/externalLinks/externalLink68.xml" ContentType="application/vnd.openxmlformats-officedocument.spreadsheetml.externalLink+xml"/>
  <Override PartName="/xl/externalLinks/externalLink69.xml" ContentType="application/vnd.openxmlformats-officedocument.spreadsheetml.externalLink+xml"/>
  <Override PartName="/xl/externalLinks/externalLink70.xml" ContentType="application/vnd.openxmlformats-officedocument.spreadsheetml.externalLink+xml"/>
  <Override PartName="/xl/externalLinks/externalLink71.xml" ContentType="application/vnd.openxmlformats-officedocument.spreadsheetml.externalLink+xml"/>
  <Override PartName="/xl/externalLinks/externalLink72.xml" ContentType="application/vnd.openxmlformats-officedocument.spreadsheetml.externalLink+xml"/>
  <Override PartName="/xl/externalLinks/externalLink73.xml" ContentType="application/vnd.openxmlformats-officedocument.spreadsheetml.externalLink+xml"/>
  <Override PartName="/xl/externalLinks/externalLink74.xml" ContentType="application/vnd.openxmlformats-officedocument.spreadsheetml.externalLink+xml"/>
  <Override PartName="/xl/externalLinks/externalLink75.xml" ContentType="application/vnd.openxmlformats-officedocument.spreadsheetml.externalLink+xml"/>
  <Override PartName="/xl/externalLinks/externalLink76.xml" ContentType="application/vnd.openxmlformats-officedocument.spreadsheetml.externalLink+xml"/>
  <Override PartName="/xl/externalLinks/externalLink77.xml" ContentType="application/vnd.openxmlformats-officedocument.spreadsheetml.externalLink+xml"/>
  <Override PartName="/xl/externalLinks/externalLink78.xml" ContentType="application/vnd.openxmlformats-officedocument.spreadsheetml.externalLink+xml"/>
  <Override PartName="/xl/externalLinks/externalLink79.xml" ContentType="application/vnd.openxmlformats-officedocument.spreadsheetml.externalLink+xml"/>
  <Override PartName="/xl/externalLinks/externalLink80.xml" ContentType="application/vnd.openxmlformats-officedocument.spreadsheetml.externalLink+xml"/>
  <Override PartName="/xl/externalLinks/externalLink81.xml" ContentType="application/vnd.openxmlformats-officedocument.spreadsheetml.externalLink+xml"/>
  <Override PartName="/xl/externalLinks/externalLink82.xml" ContentType="application/vnd.openxmlformats-officedocument.spreadsheetml.externalLink+xml"/>
  <Override PartName="/xl/externalLinks/externalLink83.xml" ContentType="application/vnd.openxmlformats-officedocument.spreadsheetml.externalLink+xml"/>
  <Override PartName="/xl/externalLinks/externalLink84.xml" ContentType="application/vnd.openxmlformats-officedocument.spreadsheetml.externalLink+xml"/>
  <Override PartName="/xl/externalLinks/externalLink85.xml" ContentType="application/vnd.openxmlformats-officedocument.spreadsheetml.externalLink+xml"/>
  <Override PartName="/xl/externalLinks/externalLink8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041bcabee5049697/urusan pt. skd/2021/Project/2. SSBP/02. RAB INFRA^JMEP^JBANGUNAN FINAL 10022021/"/>
    </mc:Choice>
  </mc:AlternateContent>
  <xr:revisionPtr revIDLastSave="33" documentId="13_ncr:1_{5004D81D-4688-456D-AA6D-E996258D46ED}" xr6:coauthVersionLast="46" xr6:coauthVersionMax="46" xr10:uidLastSave="{D300B169-EB21-4FDA-AD9D-304081F2E5A2}"/>
  <bookViews>
    <workbookView xWindow="-120" yWindow="-120" windowWidth="20730" windowHeight="11160" tabRatio="775" firstSheet="21" activeTab="25" xr2:uid="{39993C8A-7C39-4F0C-9320-A00AE0AC93E6}"/>
  </bookViews>
  <sheets>
    <sheet name="TBEL" sheetId="5" r:id="rId1"/>
    <sheet name="SUMBQ BLOK A" sheetId="3" r:id="rId2"/>
    <sheet name="01SumBQRes200" sheetId="8" r:id="rId3"/>
    <sheet name="BQresto 200" sheetId="7" r:id="rId4"/>
    <sheet name="02SumBQRes300" sheetId="10" r:id="rId5"/>
    <sheet name="BQResto300" sheetId="11" r:id="rId6"/>
    <sheet name="03SumBQResto400" sheetId="33" r:id="rId7"/>
    <sheet name="BQResto400" sheetId="26" r:id="rId8"/>
    <sheet name="04SumResto1000" sheetId="42" r:id="rId9"/>
    <sheet name="BQResto1000" sheetId="43" r:id="rId10"/>
    <sheet name="05SumSaung" sheetId="47" r:id="rId11"/>
    <sheet name="BQSaung" sheetId="48" r:id="rId12"/>
    <sheet name="06SumCafe200" sheetId="68" r:id="rId13"/>
    <sheet name="BQCafe200" sheetId="21" r:id="rId14"/>
    <sheet name="07SumMasjid" sheetId="77" r:id="rId15"/>
    <sheet name="BQMasjid (2)" sheetId="78" r:id="rId16"/>
    <sheet name="08SumKios" sheetId="32" r:id="rId17"/>
    <sheet name="BqKios" sheetId="27" r:id="rId18"/>
    <sheet name="09SumPustInf" sheetId="44" r:id="rId19"/>
    <sheet name="BQ2Pst inform" sheetId="39" r:id="rId20"/>
    <sheet name="10SumToilet30" sheetId="63" r:id="rId21"/>
    <sheet name="BQToilet30" sheetId="57" r:id="rId22"/>
    <sheet name="11SumToilet34" sheetId="64" r:id="rId23"/>
    <sheet name="BQToilet34" sheetId="58" r:id="rId24"/>
    <sheet name="12SumKomodo" sheetId="34" r:id="rId25"/>
    <sheet name="BQKomodo" sheetId="30" r:id="rId26"/>
    <sheet name="13SumPOSPOL" sheetId="40" r:id="rId27"/>
    <sheet name="BQPospol" sheetId="41" r:id="rId28"/>
    <sheet name="14SumPustKeama" sheetId="70" r:id="rId29"/>
    <sheet name="BQPustKeamanan" sheetId="69" r:id="rId30"/>
    <sheet name="15SUMPosjaga5x5" sheetId="18" r:id="rId31"/>
    <sheet name="Bq Pos Jaga5x5" sheetId="19" r:id="rId32"/>
    <sheet name="16SumTitikPandang" sheetId="67" r:id="rId33"/>
    <sheet name="BQTitikPandang" sheetId="61" r:id="rId34"/>
    <sheet name="17SumJembPdg" sheetId="49" r:id="rId35"/>
    <sheet name="BQJembatanpandang" sheetId="50" r:id="rId36"/>
    <sheet name="18SumkLINIK" sheetId="45" r:id="rId37"/>
    <sheet name="BQKlinik" sheetId="46" r:id="rId38"/>
    <sheet name="19SumBQDamkar" sheetId="65" r:id="rId39"/>
    <sheet name="BQDamkar" sheetId="59" r:id="rId40"/>
    <sheet name="20SumRTungguBis" sheetId="66" r:id="rId41"/>
    <sheet name="BQTungguBis" sheetId="60" r:id="rId42"/>
    <sheet name="21 Ipal" sheetId="75" r:id="rId43"/>
    <sheet name="22SUMTPS" sheetId="16" r:id="rId44"/>
    <sheet name="BQTPS " sheetId="17" r:id="rId45"/>
    <sheet name="23SUMUnitAB" sheetId="12" r:id="rId46"/>
    <sheet name="BQUnitAB" sheetId="13" r:id="rId47"/>
    <sheet name="24SUMGardupln" sheetId="14" r:id="rId48"/>
    <sheet name="Bq Gardupln" sheetId="15" r:id="rId49"/>
    <sheet name="AnResto200" sheetId="6" r:id="rId50"/>
    <sheet name="AnResto300" sheetId="9" r:id="rId51"/>
    <sheet name="AnCafe200" sheetId="20" r:id="rId52"/>
    <sheet name="ARS 118" sheetId="29" r:id="rId53"/>
    <sheet name="PSTINFORM" sheetId="38" r:id="rId54"/>
    <sheet name="An Komodo" sheetId="25" r:id="rId55"/>
    <sheet name="An RESTO  400" sheetId="22" r:id="rId56"/>
    <sheet name="AnKios" sheetId="31" r:id="rId57"/>
    <sheet name="ARS 110" sheetId="23" r:id="rId58"/>
    <sheet name=" ARS 118 " sheetId="24" r:id="rId59"/>
  </sheets>
  <externalReferences>
    <externalReference r:id="rId60"/>
    <externalReference r:id="rId61"/>
    <externalReference r:id="rId62"/>
    <externalReference r:id="rId63"/>
    <externalReference r:id="rId64"/>
    <externalReference r:id="rId65"/>
    <externalReference r:id="rId66"/>
    <externalReference r:id="rId67"/>
    <externalReference r:id="rId68"/>
    <externalReference r:id="rId69"/>
    <externalReference r:id="rId70"/>
    <externalReference r:id="rId71"/>
    <externalReference r:id="rId72"/>
    <externalReference r:id="rId73"/>
    <externalReference r:id="rId74"/>
    <externalReference r:id="rId75"/>
    <externalReference r:id="rId76"/>
    <externalReference r:id="rId77"/>
    <externalReference r:id="rId78"/>
    <externalReference r:id="rId79"/>
    <externalReference r:id="rId80"/>
    <externalReference r:id="rId81"/>
    <externalReference r:id="rId82"/>
    <externalReference r:id="rId83"/>
    <externalReference r:id="rId84"/>
    <externalReference r:id="rId85"/>
    <externalReference r:id="rId86"/>
    <externalReference r:id="rId87"/>
    <externalReference r:id="rId88"/>
    <externalReference r:id="rId89"/>
    <externalReference r:id="rId90"/>
    <externalReference r:id="rId91"/>
    <externalReference r:id="rId92"/>
    <externalReference r:id="rId93"/>
    <externalReference r:id="rId94"/>
    <externalReference r:id="rId95"/>
    <externalReference r:id="rId96"/>
    <externalReference r:id="rId97"/>
    <externalReference r:id="rId98"/>
    <externalReference r:id="rId99"/>
    <externalReference r:id="rId100"/>
    <externalReference r:id="rId101"/>
    <externalReference r:id="rId102"/>
    <externalReference r:id="rId103"/>
    <externalReference r:id="rId104"/>
    <externalReference r:id="rId105"/>
    <externalReference r:id="rId106"/>
    <externalReference r:id="rId107"/>
    <externalReference r:id="rId108"/>
    <externalReference r:id="rId109"/>
    <externalReference r:id="rId110"/>
    <externalReference r:id="rId111"/>
    <externalReference r:id="rId112"/>
    <externalReference r:id="rId113"/>
    <externalReference r:id="rId114"/>
    <externalReference r:id="rId115"/>
    <externalReference r:id="rId116"/>
    <externalReference r:id="rId117"/>
    <externalReference r:id="rId118"/>
    <externalReference r:id="rId119"/>
    <externalReference r:id="rId120"/>
    <externalReference r:id="rId121"/>
    <externalReference r:id="rId122"/>
    <externalReference r:id="rId123"/>
    <externalReference r:id="rId124"/>
    <externalReference r:id="rId125"/>
    <externalReference r:id="rId126"/>
    <externalReference r:id="rId127"/>
    <externalReference r:id="rId128"/>
    <externalReference r:id="rId129"/>
    <externalReference r:id="rId130"/>
    <externalReference r:id="rId131"/>
    <externalReference r:id="rId132"/>
    <externalReference r:id="rId133"/>
    <externalReference r:id="rId134"/>
    <externalReference r:id="rId135"/>
    <externalReference r:id="rId136"/>
    <externalReference r:id="rId137"/>
    <externalReference r:id="rId138"/>
    <externalReference r:id="rId139"/>
    <externalReference r:id="rId140"/>
    <externalReference r:id="rId141"/>
    <externalReference r:id="rId142"/>
    <externalReference r:id="rId143"/>
    <externalReference r:id="rId144"/>
    <externalReference r:id="rId145"/>
  </externalReferences>
  <definedNames>
    <definedName name="\A">'[1]I-KAMAR'!#REF!</definedName>
    <definedName name="\B">#REF!</definedName>
    <definedName name="\C">#REF!</definedName>
    <definedName name="\D">#REF!</definedName>
    <definedName name="\E">#REF!</definedName>
    <definedName name="\F">#REF!</definedName>
    <definedName name="\FA">#REF!</definedName>
    <definedName name="\G">#REF!</definedName>
    <definedName name="\H">#REF!</definedName>
    <definedName name="\I">#REF!</definedName>
    <definedName name="\J">#REF!</definedName>
    <definedName name="\JUSTIFY">#REF!</definedName>
    <definedName name="\K">#REF!</definedName>
    <definedName name="\L">#REF!</definedName>
    <definedName name="\LOCATION">#REF!</definedName>
    <definedName name="\M">#REF!</definedName>
    <definedName name="\N">#REF!</definedName>
    <definedName name="\O">#REF!</definedName>
    <definedName name="\P">#REF!</definedName>
    <definedName name="\Q">#REF!</definedName>
    <definedName name="\R">#REF!</definedName>
    <definedName name="\S">#REF!</definedName>
    <definedName name="\SIZE">#REF!</definedName>
    <definedName name="\T">#REF!</definedName>
    <definedName name="\U">#REF!</definedName>
    <definedName name="\V">#REF!</definedName>
    <definedName name="\W">#REF!</definedName>
    <definedName name="\WQ">'[2]BAG-2'!#REF!</definedName>
    <definedName name="\x">[3]Cover!#REF!</definedName>
    <definedName name="\Y">#REF!</definedName>
    <definedName name="\Z">#REF!</definedName>
    <definedName name="___abb91">[4]chitimc!#REF!</definedName>
    <definedName name="___abs100">#REF!</definedName>
    <definedName name="___ahu100">#REF!</definedName>
    <definedName name="___ahu150">#REF!</definedName>
    <definedName name="___ako100">#REF!</definedName>
    <definedName name="___ako150">#REF!</definedName>
    <definedName name="___ako50">#REF!</definedName>
    <definedName name="___ako80">#REF!</definedName>
    <definedName name="___aku100">#REF!</definedName>
    <definedName name="___aku150">#REF!</definedName>
    <definedName name="___bcv100">#REF!</definedName>
    <definedName name="___bcv125">#REF!</definedName>
    <definedName name="___bcv150">#REF!</definedName>
    <definedName name="___cas80">#REF!</definedName>
    <definedName name="___CT250">'[4]dongia (2)'!#REF!</definedName>
    <definedName name="___cvd100">#REF!</definedName>
    <definedName name="___cvd15">#REF!</definedName>
    <definedName name="___cvd150">#REF!</definedName>
    <definedName name="___cvd50">#REF!</definedName>
    <definedName name="___cvd65">#REF!</definedName>
    <definedName name="___daf1">#REF!</definedName>
    <definedName name="___daf2">#REF!</definedName>
    <definedName name="___daf31">#REF!</definedName>
    <definedName name="___daf32">#REF!</definedName>
    <definedName name="___daf33">#REF!</definedName>
    <definedName name="___ddn400">#REF!</definedName>
    <definedName name="___ddn600">#REF!</definedName>
    <definedName name="___dgt100">'[4]dongia (2)'!#REF!</definedName>
    <definedName name="___dia6">#REF!</definedName>
    <definedName name="___fjd100">#REF!</definedName>
    <definedName name="___fjd150">#REF!</definedName>
    <definedName name="___fjd50">#REF!</definedName>
    <definedName name="___fjd65">#REF!</definedName>
    <definedName name="___fmd150">#REF!</definedName>
    <definedName name="___GID1">'[4]LKVL-CK-HT-GD1'!$A$4</definedName>
    <definedName name="___grc1">#REF!</definedName>
    <definedName name="___gti50">#REF!</definedName>
    <definedName name="___gti60">#REF!</definedName>
    <definedName name="___gvd100">#REF!</definedName>
    <definedName name="___gvd15">#REF!</definedName>
    <definedName name="___gvd150">#REF!</definedName>
    <definedName name="___gvd25">#REF!</definedName>
    <definedName name="___gvd50">#REF!</definedName>
    <definedName name="___gvd65">#REF!</definedName>
    <definedName name="___hdw1">#REF!</definedName>
    <definedName name="___kof1">[5]Analisa!$AB$17</definedName>
    <definedName name="___MAC12">#REF!</definedName>
    <definedName name="___MAC46">#REF!</definedName>
    <definedName name="___NCL100">#REF!</definedName>
    <definedName name="___NCL200">#REF!</definedName>
    <definedName name="___NCL250">#REF!</definedName>
    <definedName name="___nin190">#REF!</definedName>
    <definedName name="___pab100">#REF!</definedName>
    <definedName name="___pab125">#REF!</definedName>
    <definedName name="___pab15">#REF!</definedName>
    <definedName name="___pab150">#REF!</definedName>
    <definedName name="___pab2">#REF!</definedName>
    <definedName name="___pab20">#REF!</definedName>
    <definedName name="___pab25">#REF!</definedName>
    <definedName name="___pab32">#REF!</definedName>
    <definedName name="___pab4">#REF!</definedName>
    <definedName name="___pab40">#REF!</definedName>
    <definedName name="___pab50">#REF!</definedName>
    <definedName name="___pab6">#REF!</definedName>
    <definedName name="___pab65">#REF!</definedName>
    <definedName name="___pab80">#REF!</definedName>
    <definedName name="___pah150">#REF!</definedName>
    <definedName name="___pak100">#REF!</definedName>
    <definedName name="___pak150">#REF!</definedName>
    <definedName name="___pak50">#REF!</definedName>
    <definedName name="___pak80">#REF!</definedName>
    <definedName name="___pbs100">#REF!</definedName>
    <definedName name="___pbs15">#REF!</definedName>
    <definedName name="___pbs150">#REF!</definedName>
    <definedName name="___pbs40">#REF!</definedName>
    <definedName name="___pbs50">#REF!</definedName>
    <definedName name="___pbs65">#REF!</definedName>
    <definedName name="___pbs80">#REF!</definedName>
    <definedName name="___pc50">#REF!</definedName>
    <definedName name="___pc80">#REF!</definedName>
    <definedName name="___ph100">#REF!</definedName>
    <definedName name="___ph150">#REF!</definedName>
    <definedName name="___phf100">#REF!</definedName>
    <definedName name="___phf150">#REF!</definedName>
    <definedName name="___pv100">#REF!</definedName>
    <definedName name="___pv40">#REF!</definedName>
    <definedName name="___pv50">#REF!</definedName>
    <definedName name="___pv80">#REF!</definedName>
    <definedName name="___pvf100">#REF!</definedName>
    <definedName name="___pvf80">#REF!</definedName>
    <definedName name="___rk100">#REF!</definedName>
    <definedName name="___rk200">#REF!</definedName>
    <definedName name="___rk300">#REF!</definedName>
    <definedName name="___rk600">#REF!</definedName>
    <definedName name="___rkl1000">#REF!</definedName>
    <definedName name="___rkl1200">#REF!</definedName>
    <definedName name="___rkl200">#REF!</definedName>
    <definedName name="___rkl300">#REF!</definedName>
    <definedName name="___rkl400">#REF!</definedName>
    <definedName name="___rkl500">#REF!</definedName>
    <definedName name="___rkl600">#REF!</definedName>
    <definedName name="___rkl700">#REF!</definedName>
    <definedName name="___rkl800">#REF!</definedName>
    <definedName name="___sc1">#REF!</definedName>
    <definedName name="___SC2">#REF!</definedName>
    <definedName name="___sfv150">#REF!</definedName>
    <definedName name="___SN3">#REF!</definedName>
    <definedName name="___std100">#REF!</definedName>
    <definedName name="___std150">#REF!</definedName>
    <definedName name="___std50">#REF!</definedName>
    <definedName name="___std65">#REF!</definedName>
    <definedName name="___th100">'[4]dongia (2)'!#REF!</definedName>
    <definedName name="___TH160">'[4]dongia (2)'!#REF!</definedName>
    <definedName name="___TL1">#REF!</definedName>
    <definedName name="___TL2">#REF!</definedName>
    <definedName name="___TL3">#REF!</definedName>
    <definedName name="___TLA120">#REF!</definedName>
    <definedName name="___TLA35">#REF!</definedName>
    <definedName name="___TLA50">#REF!</definedName>
    <definedName name="___TLA70">#REF!</definedName>
    <definedName name="___TLA95">#REF!</definedName>
    <definedName name="___tlc20">#REF!</definedName>
    <definedName name="___TR250">'[4]dongia (2)'!#REF!</definedName>
    <definedName name="___tr375">[4]giathanh1!#REF!</definedName>
    <definedName name="___tsv25">#REF!</definedName>
    <definedName name="___VL100">#REF!</definedName>
    <definedName name="___VL200">#REF!</definedName>
    <definedName name="___VL250">#REF!</definedName>
    <definedName name="___vnt100">#REF!</definedName>
    <definedName name="___vnt40">#REF!</definedName>
    <definedName name="___vnt50">#REF!</definedName>
    <definedName name="___vnt80">#REF!</definedName>
    <definedName name="__123Graph_A" hidden="1">[6]AC!#REF!</definedName>
    <definedName name="__123Graph_B" hidden="1">[6]AC!#REF!</definedName>
    <definedName name="__123Graph_C" hidden="1">[6]AC!#REF!</definedName>
    <definedName name="__123Graph_D" hidden="1">[7]SEX!$P$7:$P$7</definedName>
    <definedName name="__123Graph_E" hidden="1">[6]AC!#REF!</definedName>
    <definedName name="__123Graph_F" hidden="1">[8]ESCON!#REF!</definedName>
    <definedName name="__123Graph_X" hidden="1">[6]AC!#REF!</definedName>
    <definedName name="__abb91">[9]chitimc!#REF!</definedName>
    <definedName name="__abs100">#REF!</definedName>
    <definedName name="__ahu100">#REF!</definedName>
    <definedName name="__ahu150">#REF!</definedName>
    <definedName name="__ako100">#REF!</definedName>
    <definedName name="__ako150">#REF!</definedName>
    <definedName name="__ako50">#REF!</definedName>
    <definedName name="__ako80">#REF!</definedName>
    <definedName name="__aku100">#REF!</definedName>
    <definedName name="__aku150">#REF!</definedName>
    <definedName name="__bcv100">#REF!</definedName>
    <definedName name="__bcv125">#REF!</definedName>
    <definedName name="__bcv150">#REF!</definedName>
    <definedName name="__cas80">#REF!</definedName>
    <definedName name="__CT250">'[9]dongia (2)'!#REF!</definedName>
    <definedName name="__cvd100">#REF!</definedName>
    <definedName name="__cvd15">#REF!</definedName>
    <definedName name="__cvd150">#REF!</definedName>
    <definedName name="__cvd50">#REF!</definedName>
    <definedName name="__cvd65">#REF!</definedName>
    <definedName name="__daf1">#REF!</definedName>
    <definedName name="__daf2">#REF!</definedName>
    <definedName name="__daf31">#REF!</definedName>
    <definedName name="__daf32">#REF!</definedName>
    <definedName name="__daf33">#REF!</definedName>
    <definedName name="__ddn400">#REF!</definedName>
    <definedName name="__ddn600">#REF!</definedName>
    <definedName name="__dgt100">'[9]dongia (2)'!#REF!</definedName>
    <definedName name="__dia6">#REF!</definedName>
    <definedName name="__fjd100">#REF!</definedName>
    <definedName name="__fjd150">#REF!</definedName>
    <definedName name="__fjd50">#REF!</definedName>
    <definedName name="__fjd65">#REF!</definedName>
    <definedName name="__fmd150">#REF!</definedName>
    <definedName name="__GID1">'[9]LKVL-CK-HT-GD1'!$A$4</definedName>
    <definedName name="__grc1">#REF!</definedName>
    <definedName name="__gti50">#REF!</definedName>
    <definedName name="__gti60">#REF!</definedName>
    <definedName name="__gvd100">#REF!</definedName>
    <definedName name="__gvd15">#REF!</definedName>
    <definedName name="__gvd150">#REF!</definedName>
    <definedName name="__gvd25">#REF!</definedName>
    <definedName name="__gvd50">#REF!</definedName>
    <definedName name="__gvd65">#REF!</definedName>
    <definedName name="__hdw1">#REF!</definedName>
    <definedName name="__kof1">[5]Analisa!$AB$17</definedName>
    <definedName name="__MAC12">#REF!</definedName>
    <definedName name="__MAC46">#REF!</definedName>
    <definedName name="__NCL100">#REF!</definedName>
    <definedName name="__NCL200">#REF!</definedName>
    <definedName name="__NCL250">#REF!</definedName>
    <definedName name="__nin190">#REF!</definedName>
    <definedName name="__pab100">#REF!</definedName>
    <definedName name="__pab125">#REF!</definedName>
    <definedName name="__pab15">#REF!</definedName>
    <definedName name="__pab150">#REF!</definedName>
    <definedName name="__pab2">#REF!</definedName>
    <definedName name="__pab20">#REF!</definedName>
    <definedName name="__pab25">#REF!</definedName>
    <definedName name="__pab32">#REF!</definedName>
    <definedName name="__pab4">#REF!</definedName>
    <definedName name="__pab40">#REF!</definedName>
    <definedName name="__pab50">#REF!</definedName>
    <definedName name="__pab6">#REF!</definedName>
    <definedName name="__pab65">#REF!</definedName>
    <definedName name="__pab80">#REF!</definedName>
    <definedName name="__pah150">#REF!</definedName>
    <definedName name="__pak100">#REF!</definedName>
    <definedName name="__pak150">#REF!</definedName>
    <definedName name="__pak50">#REF!</definedName>
    <definedName name="__pak80">#REF!</definedName>
    <definedName name="__pbs100">#REF!</definedName>
    <definedName name="__pbs15">#REF!</definedName>
    <definedName name="__pbs150">#REF!</definedName>
    <definedName name="__pbs40">#REF!</definedName>
    <definedName name="__pbs50">#REF!</definedName>
    <definedName name="__pbs65">#REF!</definedName>
    <definedName name="__pbs80">#REF!</definedName>
    <definedName name="__pc50">#REF!</definedName>
    <definedName name="__pc80">#REF!</definedName>
    <definedName name="__pcf80">#REF!</definedName>
    <definedName name="__ph100">#REF!</definedName>
    <definedName name="__ph150">#REF!</definedName>
    <definedName name="__phf100">#REF!</definedName>
    <definedName name="__phf150">#REF!</definedName>
    <definedName name="__pv100">#REF!</definedName>
    <definedName name="__pv40">#REF!</definedName>
    <definedName name="__pv50">#REF!</definedName>
    <definedName name="__pv80">#REF!</definedName>
    <definedName name="__pvf100">#REF!</definedName>
    <definedName name="__pvf80">#REF!</definedName>
    <definedName name="__rk100">#REF!</definedName>
    <definedName name="__rk200">#REF!</definedName>
    <definedName name="__rk300">#REF!</definedName>
    <definedName name="__rk600">#REF!</definedName>
    <definedName name="__rkl1000">#REF!</definedName>
    <definedName name="__rkl1200">#REF!</definedName>
    <definedName name="__rkl200">#REF!</definedName>
    <definedName name="__rkl300">#REF!</definedName>
    <definedName name="__rkl400">#REF!</definedName>
    <definedName name="__rkl500">#REF!</definedName>
    <definedName name="__rkl600">#REF!</definedName>
    <definedName name="__rkl700">#REF!</definedName>
    <definedName name="__rkl800">#REF!</definedName>
    <definedName name="__sc1">#REF!</definedName>
    <definedName name="__SC2">#REF!</definedName>
    <definedName name="__sc3">#REF!</definedName>
    <definedName name="__sfv150">#REF!</definedName>
    <definedName name="__SN3">#REF!</definedName>
    <definedName name="__std100">#REF!</definedName>
    <definedName name="__std150">#REF!</definedName>
    <definedName name="__std50">#REF!</definedName>
    <definedName name="__std65">#REF!</definedName>
    <definedName name="__th100">'[9]dongia (2)'!#REF!</definedName>
    <definedName name="__TH160">'[9]dongia (2)'!#REF!</definedName>
    <definedName name="__TL1">#REF!</definedName>
    <definedName name="__TL2">#REF!</definedName>
    <definedName name="__TL3">#REF!</definedName>
    <definedName name="__TLA120">#REF!</definedName>
    <definedName name="__TLA35">#REF!</definedName>
    <definedName name="__TLA50">#REF!</definedName>
    <definedName name="__TLA70">#REF!</definedName>
    <definedName name="__TLA95">#REF!</definedName>
    <definedName name="__tlc20">#REF!</definedName>
    <definedName name="__TR250">'[9]dongia (2)'!#REF!</definedName>
    <definedName name="__tr375">[9]giathanh1!#REF!</definedName>
    <definedName name="__tsv25">#REF!</definedName>
    <definedName name="__VL100">#REF!</definedName>
    <definedName name="__VL200">#REF!</definedName>
    <definedName name="__VL250">#REF!</definedName>
    <definedName name="__vnt100">#REF!</definedName>
    <definedName name="__vnt40">#REF!</definedName>
    <definedName name="__vnt50">#REF!</definedName>
    <definedName name="__vnt80">#REF!</definedName>
    <definedName name="_750_KVA_X_64__">#REF!</definedName>
    <definedName name="_A">[1]I_KAMAR!#REF!</definedName>
    <definedName name="_A_1">[1]I_KAMAR!#REF!</definedName>
    <definedName name="_AAD3">#N/A</definedName>
    <definedName name="_aad33">#N/A</definedName>
    <definedName name="_abb91">[4]chitimc!#REF!</definedName>
    <definedName name="_abs100">#REF!</definedName>
    <definedName name="_ADD1" localSheetId="14">STOP2:STOP2E</definedName>
    <definedName name="_ADD1" localSheetId="42">STOP2:STOP2E</definedName>
    <definedName name="_ADD1">STOP2:STOP2E</definedName>
    <definedName name="_add11" localSheetId="14">STOP2:STOP2E</definedName>
    <definedName name="_add11" localSheetId="42">STOP2:STOP2E</definedName>
    <definedName name="_add11">STOP2:STOP2E</definedName>
    <definedName name="_ADD2">#N/A</definedName>
    <definedName name="_add21">#N/A</definedName>
    <definedName name="_ADD3">#N/A</definedName>
    <definedName name="_add31">#N/A</definedName>
    <definedName name="_add311">#N/A</definedName>
    <definedName name="_ahu100" localSheetId="42">#REF!</definedName>
    <definedName name="_ahu100">#REF!</definedName>
    <definedName name="_ahu150" localSheetId="42">#REF!</definedName>
    <definedName name="_ahu150">#REF!</definedName>
    <definedName name="_ako100">#REF!</definedName>
    <definedName name="_ako150">#REF!</definedName>
    <definedName name="_ako50">#REF!</definedName>
    <definedName name="_ako80">#REF!</definedName>
    <definedName name="_aku1">#N/A</definedName>
    <definedName name="_aku100">#REF!</definedName>
    <definedName name="_aku150">#REF!</definedName>
    <definedName name="_bcv100">#REF!</definedName>
    <definedName name="_bcv125">#REF!</definedName>
    <definedName name="_bcv150">#REF!</definedName>
    <definedName name="_BOX12">#REF!</definedName>
    <definedName name="_BOX2">#REF!</definedName>
    <definedName name="_BOX3">#REF!</definedName>
    <definedName name="_br6">[10]index!$I$22</definedName>
    <definedName name="_brc10">#REF!</definedName>
    <definedName name="_brc6">#REF!</definedName>
    <definedName name="_brc64">[11]Bldg!#REF!</definedName>
    <definedName name="_brc8">#REF!</definedName>
    <definedName name="_CAL1">#REF!</definedName>
    <definedName name="_CAL10">#REF!</definedName>
    <definedName name="_CAL11">#REF!</definedName>
    <definedName name="_CAL12">#REF!</definedName>
    <definedName name="_CAL13">#REF!</definedName>
    <definedName name="_CAL14">#REF!</definedName>
    <definedName name="_CAL15">#REF!</definedName>
    <definedName name="_CAL16">#REF!</definedName>
    <definedName name="_CAL17">#REF!</definedName>
    <definedName name="_CAL18">#REF!</definedName>
    <definedName name="_CAL19">#REF!</definedName>
    <definedName name="_CAL2">#REF!</definedName>
    <definedName name="_CAL20">#REF!</definedName>
    <definedName name="_CAL21">#REF!</definedName>
    <definedName name="_CAL3">#REF!</definedName>
    <definedName name="_CAL4">#REF!</definedName>
    <definedName name="_CAL5">#REF!</definedName>
    <definedName name="_CAL6">#REF!</definedName>
    <definedName name="_CAL7">#REF!</definedName>
    <definedName name="_CAL8">#REF!</definedName>
    <definedName name="_CAL9">#REF!</definedName>
    <definedName name="_CAN15">[12]Material!#REF!</definedName>
    <definedName name="_cas80">#REF!</definedName>
    <definedName name="_CH1..H1___C__R">#REF!</definedName>
    <definedName name="_CH11..H11___C_">#REF!</definedName>
    <definedName name="_CH13..H13___C_">#REF!</definedName>
    <definedName name="_CH15..H15___C_">#REF!</definedName>
    <definedName name="_CH17..H17___C_">#REF!</definedName>
    <definedName name="_CH19..H19___C_">#REF!</definedName>
    <definedName name="_CH21..H21___C_">#REF!</definedName>
    <definedName name="_CH23..H23___C_">#REF!</definedName>
    <definedName name="_CH25..H25___C_">#REF!</definedName>
    <definedName name="_CH27..H27___C_">#REF!</definedName>
    <definedName name="_CH29..H29___C_">#REF!</definedName>
    <definedName name="_CH3..H3___C__R">#REF!</definedName>
    <definedName name="_CH31..H31___C_">#REF!</definedName>
    <definedName name="_CH33..H33___C_">#REF!</definedName>
    <definedName name="_CH35..H35___C_">#REF!</definedName>
    <definedName name="_CH37..H37___C_">#REF!</definedName>
    <definedName name="_CH39..H39___C_">#REF!</definedName>
    <definedName name="_CH41..H41___C_">#REF!</definedName>
    <definedName name="_CH43..H43___C_">#REF!</definedName>
    <definedName name="_CH45..H45___C_">#REF!</definedName>
    <definedName name="_CH5..H5___C__R">#REF!</definedName>
    <definedName name="_CH7..H7___C__R">#REF!</definedName>
    <definedName name="_CH9..H9___C__R">#REF!</definedName>
    <definedName name="_cod50">[13]SAP!#REF!</definedName>
    <definedName name="_CON25">[10]index!$J$13</definedName>
    <definedName name="_CON30">[10]index!$J$14</definedName>
    <definedName name="_CON35">[10]index!$J$15</definedName>
    <definedName name="_cov1">#N/A</definedName>
    <definedName name="_CT250">'[4]dongia (2)'!#REF!</definedName>
    <definedName name="_cvd100">#REF!</definedName>
    <definedName name="_cvd15">#REF!</definedName>
    <definedName name="_cvd150">#REF!</definedName>
    <definedName name="_cvd50">#REF!</definedName>
    <definedName name="_cvd65">#REF!</definedName>
    <definedName name="_daf1">#REF!</definedName>
    <definedName name="_DAF10">#REF!</definedName>
    <definedName name="_daf2">#REF!</definedName>
    <definedName name="_daf31">#REF!</definedName>
    <definedName name="_daf32">#REF!</definedName>
    <definedName name="_daf33">#REF!</definedName>
    <definedName name="_ddn400">#REF!</definedName>
    <definedName name="_ddn600">#REF!</definedName>
    <definedName name="_dgt100">'[4]dongia (2)'!#REF!</definedName>
    <definedName name="_dia6">#REF!</definedName>
    <definedName name="_Ext1">'[14]QTO-11P'!$K$104</definedName>
    <definedName name="_Ext2">'[14]QTO-11P'!$O$104</definedName>
    <definedName name="_fdd100">[13]SAP!#REF!</definedName>
    <definedName name="_Fill" hidden="1">#REF!</definedName>
    <definedName name="_xlnm._FilterDatabase" hidden="1">'[15]HRG BAHAN &amp; UPAH okk'!#REF!</definedName>
    <definedName name="_fjd100">#REF!</definedName>
    <definedName name="_fjd150">#REF!</definedName>
    <definedName name="_fjd50">#REF!</definedName>
    <definedName name="_fjd65">#REF!</definedName>
    <definedName name="_fmd150">#REF!</definedName>
    <definedName name="_fvd100">[13]SAP!#REF!</definedName>
    <definedName name="_GID1">'[4]LKVL-CK-HT-GD1'!$A$4</definedName>
    <definedName name="_grc1">#REF!</definedName>
    <definedName name="_gti50">#REF!</definedName>
    <definedName name="_gti60">#REF!</definedName>
    <definedName name="_gvd100">#REF!</definedName>
    <definedName name="_gvd15">#REF!</definedName>
    <definedName name="_gvd150">#REF!</definedName>
    <definedName name="_gvd20">[13]SAP!#REF!</definedName>
    <definedName name="_gvd25">#REF!</definedName>
    <definedName name="_gvd32">[13]SAP!#REF!</definedName>
    <definedName name="_gvd40">[13]SAP!#REF!</definedName>
    <definedName name="_gvd50">#REF!</definedName>
    <definedName name="_gvd65">#REF!</definedName>
    <definedName name="_gvd80">[13]SAP!#REF!</definedName>
    <definedName name="_hdw1">#REF!</definedName>
    <definedName name="_Het1">'[14]QTO-11P'!$K$110</definedName>
    <definedName name="_Het2">'[14]QTO-11P'!$K$111</definedName>
    <definedName name="_Het3">'[14]QTO-11P'!$K$112</definedName>
    <definedName name="_Het4">'[14]QTO-11P'!$K$113</definedName>
    <definedName name="_Hwt1">'[14]QTO-11P'!$O$110</definedName>
    <definedName name="_Hwt2">'[14]QTO-11P'!$O$111</definedName>
    <definedName name="_Hwt3">'[14]QTO-11P'!$O$112</definedName>
    <definedName name="_Hwt4">'[14]QTO-11P'!$O$113</definedName>
    <definedName name="_ilp1">[16]IPL_SCHEDULE!#REF!</definedName>
    <definedName name="_IPR1">'[17]Memb Schd'!$B$3:$E$20</definedName>
    <definedName name="_IPR21">'[17]Memb Schd'!$G$24:$J$40</definedName>
    <definedName name="_jum1">#REF!</definedName>
    <definedName name="_jum10">#REF!</definedName>
    <definedName name="_jum2">#REF!</definedName>
    <definedName name="_jum3">#REF!</definedName>
    <definedName name="_jum4">#REF!</definedName>
    <definedName name="_jum5">#REF!</definedName>
    <definedName name="_jum6">#REF!</definedName>
    <definedName name="_jum7">#REF!</definedName>
    <definedName name="_jum8">#REF!</definedName>
    <definedName name="_jum9">#REF!</definedName>
    <definedName name="_kel030">[18]DATA!$J$129</definedName>
    <definedName name="_kel040">[19]PPC!#REF!</definedName>
    <definedName name="_kel050">[19]PPC!#REF!</definedName>
    <definedName name="_kel051">[19]PPC!#REF!</definedName>
    <definedName name="_kel052">[19]PPC!#REF!</definedName>
    <definedName name="_kel061">[19]PPC!#REF!</definedName>
    <definedName name="_kel070">[19]PPC!#REF!</definedName>
    <definedName name="_kel080">[19]PPC!#REF!</definedName>
    <definedName name="_Key1" hidden="1">#REF!</definedName>
    <definedName name="_Key2" hidden="1">#REF!</definedName>
    <definedName name="_KK0012">[19]PPC!#REF!</definedName>
    <definedName name="_KK0013">[19]PPC!#REF!</definedName>
    <definedName name="_KK0014">[19]PPC!#REF!</definedName>
    <definedName name="_KK0015">[19]PPC!#REF!</definedName>
    <definedName name="_KK0016">[19]PPC!#REF!</definedName>
    <definedName name="_KK0017">[19]PPC!#REF!</definedName>
    <definedName name="_KK0018">[19]PPC!#REF!</definedName>
    <definedName name="_kof1">[5]Analisa!$AB$17</definedName>
    <definedName name="_kr15">[13]SAP!#REF!</definedName>
    <definedName name="_ksa006">[19]PPC!#REF!</definedName>
    <definedName name="_ksa007">[19]PPC!#REF!</definedName>
    <definedName name="_ksa011">[19]PPC!#REF!</definedName>
    <definedName name="_ksa012">[19]PPC!#REF!</definedName>
    <definedName name="_ksa013">[19]PPC!#REF!</definedName>
    <definedName name="_ksa014">[19]PPC!#REF!</definedName>
    <definedName name="_ksa015">[19]PPC!#REF!</definedName>
    <definedName name="_ksa016">[19]PPC!#REF!</definedName>
    <definedName name="_ksa017">[19]PPC!#REF!</definedName>
    <definedName name="_ksa018">[19]PPC!#REF!</definedName>
    <definedName name="_ksa019">[19]PPC!#REF!</definedName>
    <definedName name="_ksa020">[19]PPC!#REF!</definedName>
    <definedName name="_ksa021">[19]PPC!#REF!</definedName>
    <definedName name="_ksa022">[19]PPC!#REF!</definedName>
    <definedName name="_ksa023">[19]PPC!#REF!</definedName>
    <definedName name="_ksa030">[19]PPC!#REF!</definedName>
    <definedName name="_ksa040">[19]PPC!#REF!</definedName>
    <definedName name="_ksa050">[19]PPC!#REF!</definedName>
    <definedName name="_ksa060">[19]PPC!#REF!</definedName>
    <definedName name="_ksa070">[19]PPC!#REF!</definedName>
    <definedName name="_ksa090">[19]PPC!#REF!</definedName>
    <definedName name="_ksa101">[19]PPC!#REF!</definedName>
    <definedName name="_ksa102">[19]PPC!#REF!</definedName>
    <definedName name="_ksa103">[19]PPC!#REF!</definedName>
    <definedName name="_ksa110">[19]PPC!#REF!</definedName>
    <definedName name="_ksa201">[19]PPC!#REF!</definedName>
    <definedName name="_ksa202">[19]PPC!#REF!</definedName>
    <definedName name="_ksa203">[19]PPC!#REF!</definedName>
    <definedName name="_ksa204">[19]PPC!#REF!</definedName>
    <definedName name="_ksa500">[19]PPC!#REF!</definedName>
    <definedName name="_ksa601">[19]PPC!#REF!</definedName>
    <definedName name="_ksa602">[19]PPC!#REF!</definedName>
    <definedName name="_ksa603">[19]PPC!#REF!</definedName>
    <definedName name="_ksa604">[19]PPC!#REF!</definedName>
    <definedName name="_ksa605">[19]PPC!#REF!</definedName>
    <definedName name="_ksa606">[19]PPC!#REF!</definedName>
    <definedName name="_ksh010">[19]PPC!#REF!</definedName>
    <definedName name="_ksh011">[19]PPC!#REF!</definedName>
    <definedName name="_Len1">'[14]QTO-11P'!$K$105</definedName>
    <definedName name="_Len2">'[14]QTO-11P'!$O$105</definedName>
    <definedName name="_lt1020001">#REF!</definedName>
    <definedName name="_MAC12">#REF!</definedName>
    <definedName name="_MAC46">#REF!</definedName>
    <definedName name="_MCB10">#REF!</definedName>
    <definedName name="_MCB6">#REF!</definedName>
    <definedName name="_NCL100">#REF!</definedName>
    <definedName name="_NCL200">#REF!</definedName>
    <definedName name="_NCL250">#REF!</definedName>
    <definedName name="_new1" localSheetId="14">FST:(FSB)</definedName>
    <definedName name="_new1" localSheetId="42">FST:(FSB)</definedName>
    <definedName name="_new1">FST:(FSB)</definedName>
    <definedName name="_new5">#N/A</definedName>
    <definedName name="_nin190" localSheetId="42">#REF!</definedName>
    <definedName name="_nin190">#REF!</definedName>
    <definedName name="_of5008" localSheetId="42">[19]PPC!#REF!</definedName>
    <definedName name="_of5008">[19]PPC!#REF!</definedName>
    <definedName name="_Order1" hidden="1">255</definedName>
    <definedName name="_Order2" hidden="1">255</definedName>
    <definedName name="_pa1017">[18]DATA!$F$24</definedName>
    <definedName name="_pab100">#REF!</definedName>
    <definedName name="_pab125">#REF!</definedName>
    <definedName name="_pab15">#REF!</definedName>
    <definedName name="_pab150">#REF!</definedName>
    <definedName name="_pab2">#REF!</definedName>
    <definedName name="_pab20">#REF!</definedName>
    <definedName name="_pab25">#REF!</definedName>
    <definedName name="_pab32">#REF!</definedName>
    <definedName name="_pab4">#REF!</definedName>
    <definedName name="_pab40">#REF!</definedName>
    <definedName name="_pab50">#REF!</definedName>
    <definedName name="_pab6">#REF!</definedName>
    <definedName name="_pab65">#REF!</definedName>
    <definedName name="_pab80">#REF!</definedName>
    <definedName name="_pah150">#REF!</definedName>
    <definedName name="_pak100">#REF!</definedName>
    <definedName name="_pak150">#REF!</definedName>
    <definedName name="_pak50">#REF!</definedName>
    <definedName name="_pak80">#REF!</definedName>
    <definedName name="_pbs100">#REF!</definedName>
    <definedName name="_pbs15">#REF!</definedName>
    <definedName name="_pbs150">#REF!</definedName>
    <definedName name="_pbs40">#REF!</definedName>
    <definedName name="_pbs50">#REF!</definedName>
    <definedName name="_pbs65">#REF!</definedName>
    <definedName name="_pbs80">#REF!</definedName>
    <definedName name="_pc50">#REF!</definedName>
    <definedName name="_pc80">#REF!</definedName>
    <definedName name="_pcf80">#REF!</definedName>
    <definedName name="_PEL001">[19]PPC!#REF!</definedName>
    <definedName name="_PEL002">[19]PPC!#REF!</definedName>
    <definedName name="_PEL003">[19]PPC!#REF!</definedName>
    <definedName name="_PEL004">[19]PPC!#REF!</definedName>
    <definedName name="_PEL005">[19]PPC!#REF!</definedName>
    <definedName name="_PEL006">[19]PPC!#REF!</definedName>
    <definedName name="_PEL007">[19]PPC!#REF!</definedName>
    <definedName name="_PEL008">[19]PPC!#REF!</definedName>
    <definedName name="_PEL009">[19]PPC!#REF!</definedName>
    <definedName name="_PEL011">[19]PPC!#REF!</definedName>
    <definedName name="_PEL012">[19]PPC!#REF!</definedName>
    <definedName name="_PEL013">[19]PPC!#REF!</definedName>
    <definedName name="_PEL014">[19]PPC!#REF!</definedName>
    <definedName name="_PEL015">[19]PPC!#REF!</definedName>
    <definedName name="_PEL016">[19]PPC!#REF!</definedName>
    <definedName name="_PEL017">[19]PPC!#REF!</definedName>
    <definedName name="_PEL018">[19]PPC!#REF!</definedName>
    <definedName name="_PEL019">[19]PPC!#REF!</definedName>
    <definedName name="_PEL020">[19]PPC!#REF!</definedName>
    <definedName name="_PEL021">[19]PPC!#REF!</definedName>
    <definedName name="_PEL022">[19]PPC!#REF!</definedName>
    <definedName name="_PEL023">[19]PPC!#REF!</definedName>
    <definedName name="_PEL024">[19]PPC!#REF!</definedName>
    <definedName name="_PEL025">[19]PPC!#REF!</definedName>
    <definedName name="_PEL026">[19]PPC!#REF!</definedName>
    <definedName name="_PEL027">[19]PPC!#REF!</definedName>
    <definedName name="_PEL028">[19]PPC!#REF!</definedName>
    <definedName name="_pf0210">[19]PPC!$E$89</definedName>
    <definedName name="_pf0280">[19]PPC!$E$90</definedName>
    <definedName name="_pf0402">[18]DATA!$F$146</definedName>
    <definedName name="_pf0403">[18]DATA!$F$147</definedName>
    <definedName name="_ph100">#REF!</definedName>
    <definedName name="_ph150">#REF!</definedName>
    <definedName name="_phf100">#REF!</definedName>
    <definedName name="_phf150">#REF!</definedName>
    <definedName name="_PI01500">[19]PPC!#REF!</definedName>
    <definedName name="_pi0505">[18]DATA!$F$219</definedName>
    <definedName name="_PL2">#REF!</definedName>
    <definedName name="_pr0001">[18]DATA!$F$256</definedName>
    <definedName name="_pr0004">[18]DATA!$F$259</definedName>
    <definedName name="_pr0005">[18]DATA!$F$260</definedName>
    <definedName name="_pr0102">[18]DATA!$F$276</definedName>
    <definedName name="_pr0104">[18]DATA!$F$278</definedName>
    <definedName name="_pv100">#REF!</definedName>
    <definedName name="_pv40">#REF!</definedName>
    <definedName name="_pv50">#REF!</definedName>
    <definedName name="_pv80">#REF!</definedName>
    <definedName name="_PVC050">#REF!</definedName>
    <definedName name="_PVC075">#REF!</definedName>
    <definedName name="_PVC1">#REF!</definedName>
    <definedName name="_pvc100">[13]SAP!#REF!</definedName>
    <definedName name="_PVC125">#REF!</definedName>
    <definedName name="_pvc150">[13]SAP!#REF!</definedName>
    <definedName name="_PVC2">#REF!</definedName>
    <definedName name="_pvc20">[13]SAP!#REF!</definedName>
    <definedName name="_pvc200">[13]SAP!#REF!</definedName>
    <definedName name="_pvc25">[13]SAP!#REF!</definedName>
    <definedName name="_PVC3">#REF!</definedName>
    <definedName name="_PVC300">#REF!</definedName>
    <definedName name="_pvc32">[13]SAP!#REF!</definedName>
    <definedName name="_PVC4">#REF!</definedName>
    <definedName name="_pvc40">[13]SAP!#REF!</definedName>
    <definedName name="_PVC400">#REF!</definedName>
    <definedName name="_PVC5">#REF!</definedName>
    <definedName name="_pvc50">[13]SAP!#REF!</definedName>
    <definedName name="_PVC55">#REF!</definedName>
    <definedName name="_PVC6">#REF!</definedName>
    <definedName name="_pvc65">[13]SAP!#REF!</definedName>
    <definedName name="_pvc80">[13]SAP!#REF!</definedName>
    <definedName name="_pvf100">#REF!</definedName>
    <definedName name="_pvf80">#REF!</definedName>
    <definedName name="_pxx001">[19]PPC!$E$211</definedName>
    <definedName name="_q">[20]Cover!#REF!</definedName>
    <definedName name="_qmd15">[13]SAP!#REF!</definedName>
    <definedName name="_qmd20">[13]SAP!#REF!</definedName>
    <definedName name="_rdd100">[13]SAP!#REF!</definedName>
    <definedName name="_rdd150">[13]SAP!#REF!</definedName>
    <definedName name="_REI1">[10]index!$J$20</definedName>
    <definedName name="_rk100">#REF!</definedName>
    <definedName name="_rk200">#REF!</definedName>
    <definedName name="_rk300">#REF!</definedName>
    <definedName name="_rk600">#REF!</definedName>
    <definedName name="_rkl1000">#REF!</definedName>
    <definedName name="_rkl1200">#REF!</definedName>
    <definedName name="_rkl200">#REF!</definedName>
    <definedName name="_rkl300">#REF!</definedName>
    <definedName name="_rkl400">#REF!</definedName>
    <definedName name="_rkl500">#REF!</definedName>
    <definedName name="_rkl600">#REF!</definedName>
    <definedName name="_rkl700">#REF!</definedName>
    <definedName name="_rkl800">#REF!</definedName>
    <definedName name="_RW10">#REF!</definedName>
    <definedName name="_RW9">#REF!</definedName>
    <definedName name="_S">#REF!</definedName>
    <definedName name="_sa25">#REF!</definedName>
    <definedName name="_sc1">#REF!</definedName>
    <definedName name="_SC2">#REF!</definedName>
    <definedName name="_sc3">#REF!</definedName>
    <definedName name="_SFL1">#REF!</definedName>
    <definedName name="_SFL2">#REF!</definedName>
    <definedName name="_SFL3">#REF!</definedName>
    <definedName name="_SFM1">#REF!</definedName>
    <definedName name="_SFM2">#REF!</definedName>
    <definedName name="_SFM3">#REF!</definedName>
    <definedName name="_SFM4">#REF!</definedName>
    <definedName name="_SFM5">#REF!</definedName>
    <definedName name="_SFM6">#REF!</definedName>
    <definedName name="_SFM7">#REF!</definedName>
    <definedName name="_SFQ1">#REF!</definedName>
    <definedName name="_SFQ2">#REF!</definedName>
    <definedName name="_SFQ3">#REF!</definedName>
    <definedName name="_SFQ4">#REF!</definedName>
    <definedName name="_sfv150">#REF!</definedName>
    <definedName name="_SN3">#REF!</definedName>
    <definedName name="_Sort" hidden="1">#REF!</definedName>
    <definedName name="_std100">#REF!</definedName>
    <definedName name="_std150">#REF!</definedName>
    <definedName name="_std50">#REF!</definedName>
    <definedName name="_std65">#REF!</definedName>
    <definedName name="_SUB1">#REF!</definedName>
    <definedName name="_SUB2">#REF!</definedName>
    <definedName name="_SUB3">#REF!</definedName>
    <definedName name="_SUB4">#REF!</definedName>
    <definedName name="_SUB5">#REF!</definedName>
    <definedName name="_SUB6">#REF!</definedName>
    <definedName name="_SUB7">#REF!</definedName>
    <definedName name="_SUM1">#REF!</definedName>
    <definedName name="_SUM2">#REF!</definedName>
    <definedName name="_SUM3">#REF!</definedName>
    <definedName name="_SWG24">#REF!</definedName>
    <definedName name="_th100">'[4]dongia (2)'!#REF!</definedName>
    <definedName name="_TH160">'[4]dongia (2)'!#REF!</definedName>
    <definedName name="_TL1">#REF!</definedName>
    <definedName name="_TL2">#REF!</definedName>
    <definedName name="_TL3">#REF!</definedName>
    <definedName name="_TLA120">#REF!</definedName>
    <definedName name="_TLA35">#REF!</definedName>
    <definedName name="_TLA50">#REF!</definedName>
    <definedName name="_TLA70">#REF!</definedName>
    <definedName name="_TLA95">#REF!</definedName>
    <definedName name="_tlc20">#REF!</definedName>
    <definedName name="_TOP2">#REF!</definedName>
    <definedName name="_TR250">'[4]dongia (2)'!#REF!</definedName>
    <definedName name="_tr375">[4]giathanh1!#REF!</definedName>
    <definedName name="_tsv25">#REF!</definedName>
    <definedName name="_UNC10">#REF!</definedName>
    <definedName name="_UNC12">#REF!</definedName>
    <definedName name="_UNC16">#REF!</definedName>
    <definedName name="_UNC19">#REF!</definedName>
    <definedName name="_usd2">#REF!</definedName>
    <definedName name="_VL100">#REF!</definedName>
    <definedName name="_VL200">#REF!</definedName>
    <definedName name="_VL250">#REF!</definedName>
    <definedName name="_vnt100">#REF!</definedName>
    <definedName name="_vnt40">#REF!</definedName>
    <definedName name="_vnt50">#REF!</definedName>
    <definedName name="_vnt80">#REF!</definedName>
    <definedName name="_Wba2">'[14]QTO-11P'!$K$141</definedName>
    <definedName name="_WD1">#REF!</definedName>
    <definedName name="_WD3">#REF!</definedName>
    <definedName name="_WD4">#REF!</definedName>
    <definedName name="_WD5">#REF!</definedName>
    <definedName name="_WD6">#REF!</definedName>
    <definedName name="_WD7">#REF!</definedName>
    <definedName name="_WF32">[12]Material!#REF!</definedName>
    <definedName name="_WF42">[12]Material!#REF!</definedName>
    <definedName name="_wf43">[21]Material!#REF!</definedName>
    <definedName name="_WM10">#REF!</definedName>
    <definedName name="_WM8">#REF!</definedName>
    <definedName name="_x">[22]Cover!#REF!</definedName>
    <definedName name="_Xbm1">'[14]QTO-11P'!$K$108</definedName>
    <definedName name="_Xbm2">'[14]QTO-11P'!$K$109</definedName>
    <definedName name="A">#REF!</definedName>
    <definedName name="A_04_2">#REF!</definedName>
    <definedName name="A_04_3">#REF!</definedName>
    <definedName name="A_04_4">#REF!</definedName>
    <definedName name="A_1">#REF!</definedName>
    <definedName name="A_2">#REF!</definedName>
    <definedName name="a1..2349">#REF!</definedName>
    <definedName name="a10sw30besi">#REF!</definedName>
    <definedName name="a10sw35besi">#REF!</definedName>
    <definedName name="a10sw40besi">#REF!</definedName>
    <definedName name="a11sw30besi">#REF!</definedName>
    <definedName name="a11sw35besi">#REF!</definedName>
    <definedName name="a11sw40besi">#REF!</definedName>
    <definedName name="A120_">#REF!</definedName>
    <definedName name="a12sw30besi">#REF!</definedName>
    <definedName name="a12sw35besi">#REF!</definedName>
    <definedName name="a12sw40besi">#REF!</definedName>
    <definedName name="a13sw30besi">#REF!</definedName>
    <definedName name="a13sw35besi">#REF!</definedName>
    <definedName name="a13sw40besi">#REF!</definedName>
    <definedName name="a14sw30besi">#REF!</definedName>
    <definedName name="a14sw35besi">#REF!</definedName>
    <definedName name="a14sw40besi">#REF!</definedName>
    <definedName name="a15sw30besi">#REF!</definedName>
    <definedName name="a15sw35besi">#REF!</definedName>
    <definedName name="a15sw40besi">#REF!</definedName>
    <definedName name="a16sw30besi">#REF!</definedName>
    <definedName name="a16sw35besi">#REF!</definedName>
    <definedName name="a16sw40besi">#REF!</definedName>
    <definedName name="a17sw30besi">#REF!</definedName>
    <definedName name="a17sw35besi">#REF!</definedName>
    <definedName name="a17sw40besi">#REF!</definedName>
    <definedName name="a18sw30besi">#REF!</definedName>
    <definedName name="a18sw35besi">#REF!</definedName>
    <definedName name="a18sw40besi">#REF!</definedName>
    <definedName name="a19sw30besi">#REF!</definedName>
    <definedName name="a19sw35besi">#REF!</definedName>
    <definedName name="a19sw40besi">#REF!</definedName>
    <definedName name="a20sw30besi">#REF!</definedName>
    <definedName name="a20sw35besi">#REF!</definedName>
    <definedName name="a20sw40besi">#REF!</definedName>
    <definedName name="a21sw30besi">#REF!</definedName>
    <definedName name="a21sw35besi">#REF!</definedName>
    <definedName name="a21sw40besi">#REF!</definedName>
    <definedName name="a22sw30besi">#REF!</definedName>
    <definedName name="a22sw35besi">#REF!</definedName>
    <definedName name="a22sw40besi">#REF!</definedName>
    <definedName name="a23sw30besi">#REF!</definedName>
    <definedName name="a23sw35besi">#REF!</definedName>
    <definedName name="a23sw40besi">#REF!</definedName>
    <definedName name="a24sw30besi">#REF!</definedName>
    <definedName name="a24sw35besi">#REF!</definedName>
    <definedName name="a24sw40besi">#REF!</definedName>
    <definedName name="a25sw30besi">#REF!</definedName>
    <definedName name="a25sw35besi">#REF!</definedName>
    <definedName name="a25sw40besi">#REF!</definedName>
    <definedName name="a26sw30besi">#REF!</definedName>
    <definedName name="a26sw35besi">#REF!</definedName>
    <definedName name="a26sw40besi">#REF!</definedName>
    <definedName name="a27sw30besi">#REF!</definedName>
    <definedName name="a27sw35besi">#REF!</definedName>
    <definedName name="a27sw40besi">#REF!</definedName>
    <definedName name="a28sw30besi">#REF!</definedName>
    <definedName name="a28sw35besi">#REF!</definedName>
    <definedName name="a28sw40besi">#REF!</definedName>
    <definedName name="a29sw30besi">#REF!</definedName>
    <definedName name="a29sw35besi">#REF!</definedName>
    <definedName name="a29sw40besi">#REF!</definedName>
    <definedName name="a30sw30besi">#REF!</definedName>
    <definedName name="a30sw35besi">#REF!</definedName>
    <definedName name="a30sw40besi">#REF!</definedName>
    <definedName name="a31sw30besi">#REF!</definedName>
    <definedName name="a31sw35besi">#REF!</definedName>
    <definedName name="a31sw40besi">#REF!</definedName>
    <definedName name="a32sw30besi">#REF!</definedName>
    <definedName name="a32sw35besi">#REF!</definedName>
    <definedName name="a32sw40besi">#REF!</definedName>
    <definedName name="A35_">#REF!</definedName>
    <definedName name="A50_">#REF!</definedName>
    <definedName name="a6cb1beton">#REF!</definedName>
    <definedName name="a6cb3beton">#REF!</definedName>
    <definedName name="a6lisbeton">#REF!</definedName>
    <definedName name="a6pbbeton">#REF!</definedName>
    <definedName name="a6platbeton">#REF!</definedName>
    <definedName name="a6sw30besi">#REF!</definedName>
    <definedName name="a6sw30beton">#REF!</definedName>
    <definedName name="a6sw35besi">#REF!</definedName>
    <definedName name="a6sw35beton">#REF!</definedName>
    <definedName name="a6sw40besi">#REF!</definedName>
    <definedName name="a6sw40beton">#REF!</definedName>
    <definedName name="a6sw45besia7sw45besia8sw45besi">#REF!</definedName>
    <definedName name="a6sw45beton">#REF!</definedName>
    <definedName name="A70_">#REF!</definedName>
    <definedName name="a7sw30besi">#REF!</definedName>
    <definedName name="a7sw35besi">#REF!</definedName>
    <definedName name="a7sw40besi">#REF!</definedName>
    <definedName name="a8sw30besi">#REF!</definedName>
    <definedName name="a8sw35besi">#REF!</definedName>
    <definedName name="a8sw40besi">#REF!</definedName>
    <definedName name="A95_">#REF!</definedName>
    <definedName name="a9sw30besi">#REF!</definedName>
    <definedName name="a9sw35besi">#REF!</definedName>
    <definedName name="a9sw40besi">#REF!</definedName>
    <definedName name="AA">'[23]daf-3(OK)'!#REF!</definedName>
    <definedName name="aaa">#REF!</definedName>
    <definedName name="aaaa">[24]Material!#REF!</definedName>
    <definedName name="aax">#REF!</definedName>
    <definedName name="ab">#REF!</definedName>
    <definedName name="abch100">#REF!</definedName>
    <definedName name="abe">[25]Cover!#REF!</definedName>
    <definedName name="aber100">#REF!</definedName>
    <definedName name="aber15">#REF!</definedName>
    <definedName name="Aber150">#REF!</definedName>
    <definedName name="aber2">#REF!</definedName>
    <definedName name="aber20">#REF!</definedName>
    <definedName name="aber25">#REF!</definedName>
    <definedName name="aber32">#REF!</definedName>
    <definedName name="aber4">#REF!</definedName>
    <definedName name="aber40">#REF!</definedName>
    <definedName name="aber50">#REF!</definedName>
    <definedName name="Aber6">#REF!</definedName>
    <definedName name="aber80">#REF!</definedName>
    <definedName name="aberf100">#REF!</definedName>
    <definedName name="aberf150">#REF!</definedName>
    <definedName name="aberf4">#REF!</definedName>
    <definedName name="aberf6">#REF!</definedName>
    <definedName name="aberf80">#REF!</definedName>
    <definedName name="abfj100">#REF!</definedName>
    <definedName name="abfj150">#REF!</definedName>
    <definedName name="abfj40">#REF!</definedName>
    <definedName name="abfj50">#REF!</definedName>
    <definedName name="abfl40">#REF!</definedName>
    <definedName name="abft100">#REF!</definedName>
    <definedName name="abft150">#REF!</definedName>
    <definedName name="abft50">#REF!</definedName>
    <definedName name="abfv100">#REF!</definedName>
    <definedName name="abfv150">#REF!</definedName>
    <definedName name="abfv50">#REF!</definedName>
    <definedName name="abfv80">#REF!</definedName>
    <definedName name="abgv100">#REF!</definedName>
    <definedName name="abgv150">#REF!</definedName>
    <definedName name="abgv20">#REF!</definedName>
    <definedName name="abgv32">#REF!</definedName>
    <definedName name="abgv40">#REF!</definedName>
    <definedName name="abgv50">#REF!</definedName>
    <definedName name="abka15">#REF!</definedName>
    <definedName name="abpg">#REF!</definedName>
    <definedName name="abwl">#REF!</definedName>
    <definedName name="ABX">#REF!</definedName>
    <definedName name="AC">'[23]daf-3(OK)'!#REF!</definedName>
    <definedName name="AC120_">#REF!</definedName>
    <definedName name="AC35_">#REF!</definedName>
    <definedName name="AC50_">#REF!</definedName>
    <definedName name="AC70_">#REF!</definedName>
    <definedName name="AC95_">#REF!</definedName>
    <definedName name="aci">#REF!</definedName>
    <definedName name="acian">#REF!</definedName>
    <definedName name="ACX">#REF!</definedName>
    <definedName name="AD">'[23]daf-3(OK)'!#REF!</definedName>
    <definedName name="ADDENDUM2">#N/A</definedName>
    <definedName name="addfill">#REF!</definedName>
    <definedName name="ADDR">#N/A</definedName>
    <definedName name="addr1">#N/A</definedName>
    <definedName name="ADX">#REF!</definedName>
    <definedName name="AE">'[23]daf-3(OK)'!#REF!</definedName>
    <definedName name="AF">'[23]daf-3(OK)'!#REF!</definedName>
    <definedName name="AG">'[23]daf-3(OK)'!#REF!</definedName>
    <definedName name="ag142X42">[4]chitimc!#REF!</definedName>
    <definedName name="ag267N59">[4]chitimc!#REF!</definedName>
    <definedName name="AH">'[23]daf-3(OK)'!#REF!</definedName>
    <definedName name="ahrd100">#REF!</definedName>
    <definedName name="ahrd150">#REF!</definedName>
    <definedName name="ahuf100">#REF!</definedName>
    <definedName name="ahuf150">#REF!</definedName>
    <definedName name="ahuf150ahuf150">#REF!</definedName>
    <definedName name="AI">'[23]daf-3(OK)'!#REF!</definedName>
    <definedName name="AJ">'[23]daf-3(OK)'!#REF!</definedName>
    <definedName name="AK">'[23]daf-3(OK)'!#REF!</definedName>
    <definedName name="akco100">#REF!</definedName>
    <definedName name="akco150">#REF!</definedName>
    <definedName name="akco80">#REF!</definedName>
    <definedName name="akfd50">#REF!</definedName>
    <definedName name="akfj100">#REF!</definedName>
    <definedName name="akgv100">#REF!</definedName>
    <definedName name="akgv80">#REF!</definedName>
    <definedName name="akof100">#REF!</definedName>
    <definedName name="akof150">#REF!</definedName>
    <definedName name="akof4">#REF!</definedName>
    <definedName name="akof6">#REF!</definedName>
    <definedName name="akof80">#REF!</definedName>
    <definedName name="akofl80">#REF!</definedName>
    <definedName name="akogv100">#REF!</definedName>
    <definedName name="akogv80">#REF!</definedName>
    <definedName name="AKU">#N/A</definedName>
    <definedName name="al">'[26]Bangunan Utama'!$AL$17</definedName>
    <definedName name="ALAT">'[27]DAFTAR HARGA'!#REF!</definedName>
    <definedName name="ALKASIT">#REF!</definedName>
    <definedName name="ALL">#REF!</definedName>
    <definedName name="ALUMFOIL">#REF!</definedName>
    <definedName name="ALVO">[12]Material!#REF!</definedName>
    <definedName name="AM">'[23]daf-3(OK)'!#REF!</definedName>
    <definedName name="AM_1">#REF!</definedName>
    <definedName name="AMPELAS">#REF!</definedName>
    <definedName name="AN">'[23]daf-3(OK)'!#REF!</definedName>
    <definedName name="Analisa">#REF!</definedName>
    <definedName name="Analisa1">#REF!</definedName>
    <definedName name="angk12">#REF!</definedName>
    <definedName name="ANGK16">#REF!</definedName>
    <definedName name="ANGK19">#REF!</definedName>
    <definedName name="angk22">#REF!</definedName>
    <definedName name="ANGKUR">#REF!</definedName>
    <definedName name="angkur25">#REF!</definedName>
    <definedName name="AO">'[23]daf-3(OK)'!#REF!</definedName>
    <definedName name="AP">'[23]daf-3(OK)'!#REF!</definedName>
    <definedName name="AQ">'[23]daf-3(OK)'!#REF!</definedName>
    <definedName name="AR">'[23]daf-3(OK)'!#REF!</definedName>
    <definedName name="area">#REF!</definedName>
    <definedName name="AS">#REF!</definedName>
    <definedName name="AS_0">[28]Cost_BD_Steel!#REF!</definedName>
    <definedName name="AS_1">[28]Cost_BD_Steel!#REF!</definedName>
    <definedName name="ASD">#REF!</definedName>
    <definedName name="aspalf">#REF!</definedName>
    <definedName name="ASPHALT">'[27]DAFTAR HARGA'!#REF!</definedName>
    <definedName name="ATAP">#REF!</definedName>
    <definedName name="B">#REF!</definedName>
    <definedName name="B_1">#REF!</definedName>
    <definedName name="b_240">'[4]THPDMoi  (2)'!#REF!</definedName>
    <definedName name="b_280">'[4]THPDMoi  (2)'!#REF!</definedName>
    <definedName name="b_320">'[4]THPDMoi  (2)'!#REF!</definedName>
    <definedName name="B_PRICE">#REF!</definedName>
    <definedName name="BA">#REF!</definedName>
    <definedName name="BAGIAN_1">#REF!</definedName>
    <definedName name="BAHAN">#REF!</definedName>
    <definedName name="BAHAN?">#REF!</definedName>
    <definedName name="Baja">#REF!</definedName>
    <definedName name="bakAIR">#REF!</definedName>
    <definedName name="balok">#REF!</definedName>
    <definedName name="Balok_borneo">'[29]Daftar Harga'!$G$100</definedName>
    <definedName name="balok2">#REF!</definedName>
    <definedName name="Bambu_dia._5_7_cm">'[29]Daftar Harga'!$G$86</definedName>
    <definedName name="bangciti">'[4]dongia (2)'!#REF!</definedName>
    <definedName name="Bar_D10">#REF!</definedName>
    <definedName name="Bar_D13">#REF!</definedName>
    <definedName name="Bar_D16">#REF!</definedName>
    <definedName name="Bar_D19">#REF!</definedName>
    <definedName name="Bar_D22">#REF!</definedName>
    <definedName name="Bar_D25">#REF!</definedName>
    <definedName name="Bar_D29">#REF!</definedName>
    <definedName name="Bar_D32">#REF!</definedName>
    <definedName name="baru">#REF!</definedName>
    <definedName name="basaom">#REF!</definedName>
    <definedName name="basdim">#REF!</definedName>
    <definedName name="basdoc">#REF!</definedName>
    <definedName name="basfs">#REF!</definedName>
    <definedName name="basi">#REF!</definedName>
    <definedName name="basitc">#REF!</definedName>
    <definedName name="basrtu">#REF!</definedName>
    <definedName name="bastw">#REF!</definedName>
    <definedName name="bata">#REF!</definedName>
    <definedName name="Bata_Merah">'[29]Daftar Harga'!$G$21</definedName>
    <definedName name="BATAKO">#REF!</definedName>
    <definedName name="bataringan">#REF!</definedName>
    <definedName name="BATHTUB">#REF!</definedName>
    <definedName name="BATU">#REF!</definedName>
    <definedName name="Batu_belah___kali">'[30]Daftar Harga'!$G$12</definedName>
    <definedName name="Batu_split_2_3">'[29]Daftar Harga'!$G$14</definedName>
    <definedName name="batukali">#REF!</definedName>
    <definedName name="baut12">#REF!</definedName>
    <definedName name="baut34">#REF!</definedName>
    <definedName name="baut58">#REF!</definedName>
    <definedName name="baut78">#REF!</definedName>
    <definedName name="BAUTUNC16">[31]HARGA!$D$10</definedName>
    <definedName name="BAX">#REF!</definedName>
    <definedName name="BB">#REF!</definedName>
    <definedName name="BBX">#REF!</definedName>
    <definedName name="BCX">#REF!</definedName>
    <definedName name="bdht15nc">[4]gtrinh!#REF!</definedName>
    <definedName name="bdht15vl">[4]gtrinh!#REF!</definedName>
    <definedName name="bdht25nc">[4]gtrinh!#REF!</definedName>
    <definedName name="bdht25vl">[4]gtrinh!#REF!</definedName>
    <definedName name="bdht325nc">[4]gtrinh!#REF!</definedName>
    <definedName name="bdht325vl">[4]gtrinh!#REF!</definedName>
    <definedName name="bdia6">#REF!</definedName>
    <definedName name="bebre">[25]Cover!#REF!</definedName>
    <definedName name="begesting">'[32]Analisa Harga'!$H$213</definedName>
    <definedName name="begisting">#REF!</definedName>
    <definedName name="Bekisting_Balok">#REF!</definedName>
    <definedName name="Bekisting_Balok_Material">#REF!</definedName>
    <definedName name="Bekisting_Balok_Upah">#REF!</definedName>
    <definedName name="Bekisting_Kolom">#REF!</definedName>
    <definedName name="Bekisting_Kolom_Material">#REF!</definedName>
    <definedName name="Bekisting_Kolom_Upah">#REF!</definedName>
    <definedName name="Bekisting_Plat">#REF!</definedName>
    <definedName name="Bekisting_Plat_Material">#REF!</definedName>
    <definedName name="Bekisting_Plat_Upah">#REF!</definedName>
    <definedName name="Bekisting_Sloof">#REF!</definedName>
    <definedName name="Bekisting_Sloof_Material">#REF!</definedName>
    <definedName name="Bekisting_sloof_Upah">#REF!</definedName>
    <definedName name="BekistingMultiplex">"$#REF!.$H$290"</definedName>
    <definedName name="BEN">#REF!</definedName>
    <definedName name="Bend_Dia">#REF!</definedName>
    <definedName name="Bend_Ø">[33]Data!$B$3:$C$10</definedName>
    <definedName name="bendrat">#REF!</definedName>
    <definedName name="BESI">#REF!</definedName>
    <definedName name="Besi_Beton">#REF!</definedName>
    <definedName name="Besi_Beton_Material">#REF!</definedName>
    <definedName name="Besi_Beton_Upah">#REF!</definedName>
    <definedName name="besibetonpolos">'[32]Analisa Harga'!$H$174</definedName>
    <definedName name="BESIKUDA">#REF!</definedName>
    <definedName name="BETON">#REF!</definedName>
    <definedName name="Beton_123">#REF!</definedName>
    <definedName name="Beton_123_Material">#REF!</definedName>
    <definedName name="Beton_123_Upah">#REF!</definedName>
    <definedName name="Beton_K225">[34]ANALISA!#REF!</definedName>
    <definedName name="Beton_K250">[34]ANALISA!#REF!</definedName>
    <definedName name="Beton_K300">[34]ANALISA!#REF!</definedName>
    <definedName name="Beton_Sloof">#REF!</definedName>
    <definedName name="beton225">#REF!</definedName>
    <definedName name="beton250">#REF!</definedName>
    <definedName name="beton300">#REF!</definedName>
    <definedName name="betonk175">'[32]Analisa Harga'!$H$145</definedName>
    <definedName name="betonk225">'[32]Analisa Harga'!$H$160</definedName>
    <definedName name="BH">#REF!</definedName>
    <definedName name="BJ">#REF!</definedName>
    <definedName name="bkstg">#REF!</definedName>
    <definedName name="bkstgstout">#REF!</definedName>
    <definedName name="BL">[35]BAHAN!$E$4</definedName>
    <definedName name="BLKBORNEO">#REF!</definedName>
    <definedName name="BLKKAMPER">#REF!</definedName>
    <definedName name="bmcb">#REF!</definedName>
    <definedName name="bo">#REF!</definedName>
    <definedName name="bobokpancang">#REF!</definedName>
    <definedName name="bondek">#REF!</definedName>
    <definedName name="bouven">#REF!</definedName>
    <definedName name="BOX">#REF!</definedName>
    <definedName name="BP">[35]BAHAN!$E$2</definedName>
    <definedName name="BR">#REF!</definedName>
    <definedName name="bracing">#REF!</definedName>
    <definedName name="brcA5">#REF!</definedName>
    <definedName name="brcA6">[11]Bldg!#REF!</definedName>
    <definedName name="brcA6.5">#REF!</definedName>
    <definedName name="brca65">'[36]Blk A'!$CH$89</definedName>
    <definedName name="brcA7">#REF!</definedName>
    <definedName name="BRCA8">[11]Bldg!#REF!</definedName>
    <definedName name="brcB10">#REF!</definedName>
    <definedName name="brcB5">#REF!</definedName>
    <definedName name="brcB6">#REF!</definedName>
    <definedName name="brcB7">#REF!</definedName>
    <definedName name="brcB8">#REF!</definedName>
    <definedName name="brcB9">#REF!</definedName>
    <definedName name="BS">#REF!</definedName>
    <definedName name="BT">#REF!</definedName>
    <definedName name="btKL">#REF!</definedName>
    <definedName name="btntul">#REF!</definedName>
    <definedName name="btsentul">[37]Bhn!#REF!</definedName>
    <definedName name="bu">[38]FINISHING!#REF!</definedName>
    <definedName name="buang">#N/A</definedName>
    <definedName name="buang1">#N/A</definedName>
    <definedName name="buang11">#N/A</definedName>
    <definedName name="buangTP">#REF!</definedName>
    <definedName name="Building">#REF!</definedName>
    <definedName name="bvd0.5">'[39]DAF-2'!#REF!</definedName>
    <definedName name="bvd1.25">'[39]DAF-2'!#REF!</definedName>
    <definedName name="bvd1.5">'[39]DAF-2'!#REF!</definedName>
    <definedName name="bvnbv">#REF!</definedName>
    <definedName name="Bw">'[14]QTO-11P'!$O$57</definedName>
    <definedName name="Bww">'[14]QTO-11P'!$K$139</definedName>
    <definedName name="C_1">#REF!</definedName>
    <definedName name="C_2">#REF!</definedName>
    <definedName name="C1.1.1">#REF!</definedName>
    <definedName name="C1.1.2">#REF!</definedName>
    <definedName name="c1.1.3">#REF!</definedName>
    <definedName name="C1.1.4">#REF!</definedName>
    <definedName name="c1.1.5">#REF!</definedName>
    <definedName name="c1.1.6">#REF!</definedName>
    <definedName name="C1.2.1">#REF!</definedName>
    <definedName name="C1.2.2">#REF!</definedName>
    <definedName name="C1.2.3">#REF!</definedName>
    <definedName name="C1.2.4">#REF!</definedName>
    <definedName name="C1.2.5">#REF!</definedName>
    <definedName name="c1.2.6">#REF!</definedName>
    <definedName name="C1.3.1">#REF!</definedName>
    <definedName name="C1.3.2">#REF!</definedName>
    <definedName name="C1.3.3">#REF!</definedName>
    <definedName name="C1.3.4">#REF!</definedName>
    <definedName name="C1.4">#REF!</definedName>
    <definedName name="C10.1.1">#REF!</definedName>
    <definedName name="c10.1.2">#REF!</definedName>
    <definedName name="c10.1.3">#REF!</definedName>
    <definedName name="C10.1.4">#REF!</definedName>
    <definedName name="C10.2.1">#REF!</definedName>
    <definedName name="c10.2.2">#REF!</definedName>
    <definedName name="C10.2.3">#REF!</definedName>
    <definedName name="C10.2.4">#REF!</definedName>
    <definedName name="c11.1">#REF!</definedName>
    <definedName name="C11.2">#REF!</definedName>
    <definedName name="c11.3">#REF!</definedName>
    <definedName name="c11.4">#REF!</definedName>
    <definedName name="c11.5">#REF!</definedName>
    <definedName name="c11.6">#REF!</definedName>
    <definedName name="c12.1.1">#REF!</definedName>
    <definedName name="c12.1.10">#REF!</definedName>
    <definedName name="c12.1.11">#REF!</definedName>
    <definedName name="c12.1.12">#REF!</definedName>
    <definedName name="c12.1.13">#REF!</definedName>
    <definedName name="c12.1.14">#REF!</definedName>
    <definedName name="c12.1.15">#REF!</definedName>
    <definedName name="C12.1.2">#REF!</definedName>
    <definedName name="C12.1.3">#REF!</definedName>
    <definedName name="C12.1.4">#REF!</definedName>
    <definedName name="C12.1.5">#REF!</definedName>
    <definedName name="C12.1.6">#REF!</definedName>
    <definedName name="c12.1.7">#REF!</definedName>
    <definedName name="C12.1.8">#REF!</definedName>
    <definedName name="c12.1.9">#REF!</definedName>
    <definedName name="c12.2.1">#REF!</definedName>
    <definedName name="C12.2.2">#REF!</definedName>
    <definedName name="C12.2.3">#REF!</definedName>
    <definedName name="C12.2.4">#REF!</definedName>
    <definedName name="c12.2.5">#REF!</definedName>
    <definedName name="C12.2.6">#REF!</definedName>
    <definedName name="C12.2.7">#REF!</definedName>
    <definedName name="C12.5.3">#REF!</definedName>
    <definedName name="c13.1">#REF!</definedName>
    <definedName name="c13.2">#REF!</definedName>
    <definedName name="c13.3">#REF!</definedName>
    <definedName name="c13.4">#REF!</definedName>
    <definedName name="c13.5">#REF!</definedName>
    <definedName name="c13.6">#REF!</definedName>
    <definedName name="c13.7">#REF!</definedName>
    <definedName name="c13.8">#REF!</definedName>
    <definedName name="c13.9">#REF!</definedName>
    <definedName name="c14.1.1">#REF!</definedName>
    <definedName name="c14.1.2">#REF!</definedName>
    <definedName name="c14.1.3">#REF!</definedName>
    <definedName name="c15.1.1">#REF!</definedName>
    <definedName name="c15.1.2">#REF!</definedName>
    <definedName name="c15.1.3">#REF!</definedName>
    <definedName name="c15.1.4">#REF!</definedName>
    <definedName name="c15.2.1">#REF!</definedName>
    <definedName name="c15.2.2">#REF!</definedName>
    <definedName name="c15.2.3">#REF!</definedName>
    <definedName name="c15.3">#REF!</definedName>
    <definedName name="c16.1">#REF!</definedName>
    <definedName name="c16.10">#REF!</definedName>
    <definedName name="c16.11">#REF!</definedName>
    <definedName name="c16.2">#REF!</definedName>
    <definedName name="c16.3">#REF!</definedName>
    <definedName name="c16.4">#REF!</definedName>
    <definedName name="c16.5">#REF!</definedName>
    <definedName name="c16.6">#REF!</definedName>
    <definedName name="c16.7">#REF!</definedName>
    <definedName name="c16.8">#REF!</definedName>
    <definedName name="c16.9">#REF!</definedName>
    <definedName name="c17.1.1">#REF!</definedName>
    <definedName name="c17.1.2">#REF!</definedName>
    <definedName name="C17.1.3">#REF!</definedName>
    <definedName name="C17.1.4">#REF!</definedName>
    <definedName name="C17.1.5">#REF!</definedName>
    <definedName name="C17.2.1">#REF!</definedName>
    <definedName name="c17.2.2">#REF!</definedName>
    <definedName name="C17.2.3">#REF!</definedName>
    <definedName name="C17.2.4">#REF!</definedName>
    <definedName name="C17.2.5">#REF!</definedName>
    <definedName name="C17.3.1">#REF!</definedName>
    <definedName name="C17.3.2">#REF!</definedName>
    <definedName name="C17.3.3">#REF!</definedName>
    <definedName name="C17.3.4">#REF!</definedName>
    <definedName name="C17.3.5">#REF!</definedName>
    <definedName name="C17.4.1">#REF!</definedName>
    <definedName name="C17.4.2">#REF!</definedName>
    <definedName name="C17.4.3">#REF!</definedName>
    <definedName name="C17.4.4">#REF!</definedName>
    <definedName name="C17.4.5">#REF!</definedName>
    <definedName name="C17.5.1">#REF!</definedName>
    <definedName name="C17.5.2">#REF!</definedName>
    <definedName name="C17.5.3">#REF!</definedName>
    <definedName name="C17.5.4">#REF!</definedName>
    <definedName name="C17.5.5">#REF!</definedName>
    <definedName name="C2.1.1">#REF!</definedName>
    <definedName name="C2.1.2">#REF!</definedName>
    <definedName name="C2.1.3">#REF!</definedName>
    <definedName name="C2.1.4">#REF!</definedName>
    <definedName name="C2.1.5">#REF!</definedName>
    <definedName name="C2.1.6">#REF!</definedName>
    <definedName name="C2.1.7">#REF!</definedName>
    <definedName name="C2.1.8">#REF!</definedName>
    <definedName name="C2.2.1">#REF!</definedName>
    <definedName name="C2.2.2">#REF!</definedName>
    <definedName name="C2.2.3">#REF!</definedName>
    <definedName name="C2.2.4">#REF!</definedName>
    <definedName name="C2.2.5">#REF!</definedName>
    <definedName name="C2.2.6">#REF!</definedName>
    <definedName name="C2.2.7">#REF!</definedName>
    <definedName name="C2.2.8">#REF!</definedName>
    <definedName name="C2.3.1">#REF!</definedName>
    <definedName name="C2.3.2">#REF!</definedName>
    <definedName name="C2.3.3">#REF!</definedName>
    <definedName name="C2.3.4">#REF!</definedName>
    <definedName name="C2.4.1">#REF!</definedName>
    <definedName name="C2.4.2">#REF!</definedName>
    <definedName name="C2.4.3">#REF!</definedName>
    <definedName name="C2.4.4">#REF!</definedName>
    <definedName name="C2.5.1">#REF!</definedName>
    <definedName name="C2.5.2">#REF!</definedName>
    <definedName name="C2.5.3">#REF!</definedName>
    <definedName name="C2.5.4">#REF!</definedName>
    <definedName name="C2.6.1">#REF!</definedName>
    <definedName name="C2.6.2">#REF!</definedName>
    <definedName name="C2.6.3">#REF!</definedName>
    <definedName name="C2.6.4">#REF!</definedName>
    <definedName name="c25.1">#REF!</definedName>
    <definedName name="c25.1.1">#REF!</definedName>
    <definedName name="C3.1.1">#REF!</definedName>
    <definedName name="C3.1.2">#REF!</definedName>
    <definedName name="C3.1.3">#REF!</definedName>
    <definedName name="c3.1.4">#REF!</definedName>
    <definedName name="C3.1.5">#REF!</definedName>
    <definedName name="c3.1.6">#REF!</definedName>
    <definedName name="c3.1.7">#REF!</definedName>
    <definedName name="c3.2">#REF!</definedName>
    <definedName name="C3.2.1">#REF!</definedName>
    <definedName name="C3.2.10">#REF!</definedName>
    <definedName name="C3.2.11">#REF!</definedName>
    <definedName name="C3.2.12">#REF!</definedName>
    <definedName name="C3.2.2">#REF!</definedName>
    <definedName name="C3.2.3">#REF!</definedName>
    <definedName name="C3.2.4">#REF!</definedName>
    <definedName name="C3.2.5">#REF!</definedName>
    <definedName name="C3.2.6">#REF!</definedName>
    <definedName name="C3.2.7">#REF!</definedName>
    <definedName name="C3.2.8">#REF!</definedName>
    <definedName name="C3.2.9">#REF!</definedName>
    <definedName name="C3.3.1">#REF!</definedName>
    <definedName name="c3.3.2">#REF!</definedName>
    <definedName name="C3.3.3">#REF!</definedName>
    <definedName name="C3.3.4">#REF!</definedName>
    <definedName name="C3.4.1">#REF!</definedName>
    <definedName name="C3.4.2">#REF!</definedName>
    <definedName name="C3.4.3">#REF!</definedName>
    <definedName name="C3.4.4">#REF!</definedName>
    <definedName name="c3.5.1">#REF!</definedName>
    <definedName name="C3.5.2">#REF!</definedName>
    <definedName name="c3.5.3">#REF!</definedName>
    <definedName name="c3.5.4">#REF!</definedName>
    <definedName name="C3.5.5">#REF!</definedName>
    <definedName name="c3.5.6">#REF!</definedName>
    <definedName name="C3.5.7">#REF!</definedName>
    <definedName name="C3.6">#REF!</definedName>
    <definedName name="c4.1.1">#REF!</definedName>
    <definedName name="C4.1.2">#REF!</definedName>
    <definedName name="C4.1.3">#REF!</definedName>
    <definedName name="C4.1.4">#REF!</definedName>
    <definedName name="c4.2.1">#REF!</definedName>
    <definedName name="C4.2.2">#REF!</definedName>
    <definedName name="C4.2.3">#REF!</definedName>
    <definedName name="C4.2.4">#REF!</definedName>
    <definedName name="c4.2.5">#REF!</definedName>
    <definedName name="C4.3.1">#REF!</definedName>
    <definedName name="C4.3.2">#REF!</definedName>
    <definedName name="C4.3.3">#REF!</definedName>
    <definedName name="C4.3.4">#REF!</definedName>
    <definedName name="c4.4.1">#REF!</definedName>
    <definedName name="c4.4.2">#REF!</definedName>
    <definedName name="c4.5.1">#REF!</definedName>
    <definedName name="c40.1">#REF!</definedName>
    <definedName name="c5.1">#REF!</definedName>
    <definedName name="c5.1.11">#REF!</definedName>
    <definedName name="c5.2">#REF!</definedName>
    <definedName name="C5.2.1">#REF!</definedName>
    <definedName name="C5.2.1A">#REF!</definedName>
    <definedName name="c5.2.2">#REF!</definedName>
    <definedName name="c5.2.3">#REF!</definedName>
    <definedName name="C5.2.4">#REF!</definedName>
    <definedName name="C5.2.4a">#REF!</definedName>
    <definedName name="c5.2.5">#REF!</definedName>
    <definedName name="c5.3">#REF!</definedName>
    <definedName name="c5.4">#REF!</definedName>
    <definedName name="c5.5">#REF!</definedName>
    <definedName name="c5.5.1">#REF!</definedName>
    <definedName name="c5.5.10">#REF!</definedName>
    <definedName name="c5.5.11">#REF!</definedName>
    <definedName name="c5.5.2">#REF!</definedName>
    <definedName name="C5.5.3">#REF!</definedName>
    <definedName name="c5.5.4">#REF!</definedName>
    <definedName name="c5.5.5">#REF!</definedName>
    <definedName name="c5.5.6">#REF!</definedName>
    <definedName name="c5.5.6a">#REF!</definedName>
    <definedName name="c5.5.7">#REF!</definedName>
    <definedName name="c5.5.8">#REF!</definedName>
    <definedName name="c5.5.9">#REF!</definedName>
    <definedName name="C5.6">#REF!</definedName>
    <definedName name="C6.1">#REF!</definedName>
    <definedName name="C6.2">#REF!</definedName>
    <definedName name="c6.2.1">#REF!</definedName>
    <definedName name="c6.2.2">#REF!</definedName>
    <definedName name="C6.3">#REF!</definedName>
    <definedName name="c6.3.1">#REF!</definedName>
    <definedName name="c6.3.2">#REF!</definedName>
    <definedName name="c6.4">#REF!</definedName>
    <definedName name="c6.5">#REF!</definedName>
    <definedName name="c6.6">#REF!</definedName>
    <definedName name="c6.7">#REF!</definedName>
    <definedName name="c6.8">#REF!</definedName>
    <definedName name="c7.1">#REF!</definedName>
    <definedName name="c7.10">#REF!</definedName>
    <definedName name="c7.11">#REF!</definedName>
    <definedName name="c7.11.1">#REF!</definedName>
    <definedName name="c7.11.3">#REF!</definedName>
    <definedName name="c7.11.4">#REF!</definedName>
    <definedName name="c7.12">#REF!</definedName>
    <definedName name="c7.12.1">#REF!</definedName>
    <definedName name="c7.12.10">#REF!</definedName>
    <definedName name="c7.12.11">#REF!</definedName>
    <definedName name="c7.12.12">#REF!</definedName>
    <definedName name="c7.12.2">#REF!</definedName>
    <definedName name="c7.12.3">#REF!</definedName>
    <definedName name="c7.12.4">#REF!</definedName>
    <definedName name="c7.12.5">#REF!</definedName>
    <definedName name="c7.12.6">#REF!</definedName>
    <definedName name="c7.12.7">#REF!</definedName>
    <definedName name="c7.12.8">#REF!</definedName>
    <definedName name="c7.12.9">#REF!</definedName>
    <definedName name="c7.13">#REF!</definedName>
    <definedName name="c7.2">#REF!</definedName>
    <definedName name="c7.3">#REF!</definedName>
    <definedName name="c7.3a">#REF!</definedName>
    <definedName name="c7.4">#REF!</definedName>
    <definedName name="c7.5">#REF!</definedName>
    <definedName name="c7.6">#REF!</definedName>
    <definedName name="c7.7">#REF!</definedName>
    <definedName name="c7.8">#REF!</definedName>
    <definedName name="c7.9">#REF!</definedName>
    <definedName name="c7.9.1">#REF!</definedName>
    <definedName name="c7.9.2">#REF!</definedName>
    <definedName name="c8.1">#REF!</definedName>
    <definedName name="c8.1.1">#REF!</definedName>
    <definedName name="c8.1.2">#REF!</definedName>
    <definedName name="c8.2">#REF!</definedName>
    <definedName name="c8.2.1">#REF!</definedName>
    <definedName name="c8.2.2">#REF!</definedName>
    <definedName name="c8.3">#REF!</definedName>
    <definedName name="c8.4">#REF!</definedName>
    <definedName name="c8.5">#REF!</definedName>
    <definedName name="c8.6">#REF!</definedName>
    <definedName name="C9.1">#REF!</definedName>
    <definedName name="C9.2">#REF!</definedName>
    <definedName name="c9.3">#REF!</definedName>
    <definedName name="c9.4">#REF!</definedName>
    <definedName name="c9.5">#REF!</definedName>
    <definedName name="c9.6">#REF!</definedName>
    <definedName name="CA">#REF!</definedName>
    <definedName name="CAL">#REF!</definedName>
    <definedName name="CANDI40">#REF!</definedName>
    <definedName name="Canopy_beton">#REF!</definedName>
    <definedName name="CAPDAT">[4]phuluc1!#REF!</definedName>
    <definedName name="caping">#REF!</definedName>
    <definedName name="casf80">#REF!</definedName>
    <definedName name="CAT">#REF!</definedName>
    <definedName name="cat.bj">#REF!</definedName>
    <definedName name="Cat_Besi_Sieve">'[29]Daftar Harga'!$G$45</definedName>
    <definedName name="Cat_Dinding_Dalam">#REF!</definedName>
    <definedName name="Cat_Dinding_Luar">#REF!</definedName>
    <definedName name="Cat_Plafond">#REF!</definedName>
    <definedName name="catbaja">#REF!</definedName>
    <definedName name="catbj">#REF!</definedName>
    <definedName name="catbjM2">#REF!</definedName>
    <definedName name="catddg">#REF!</definedName>
    <definedName name="catddgdlm">#REF!</definedName>
    <definedName name="catddglr">#REF!</definedName>
    <definedName name="CATGENT">#REF!</definedName>
    <definedName name="catplaf">#REF!</definedName>
    <definedName name="CATYLAC">#REF!</definedName>
    <definedName name="CB">#REF!</definedName>
    <definedName name="CC">#REF!</definedName>
    <definedName name="CCS">#REF!</definedName>
    <definedName name="CDD">#REF!</definedName>
    <definedName name="CDDD">'[4]THPDMoi  (2)'!#REF!</definedName>
    <definedName name="cddd1p">'[4]TONG HOP VL-NC'!$C$3</definedName>
    <definedName name="cddd3p">'[4]TONG HOP VL-NC'!$C$2</definedName>
    <definedName name="CDL">#REF!</definedName>
    <definedName name="ceilingcolor">#REF!</definedName>
    <definedName name="CELCON">#REF!</definedName>
    <definedName name="ceramic">#REF!</definedName>
    <definedName name="cgionc">'[4]lam-moi'!#REF!</definedName>
    <definedName name="cgiovl">'[4]lam-moi'!#REF!</definedName>
    <definedName name="CH">#REF!</definedName>
    <definedName name="cheqPl">#REF!</definedName>
    <definedName name="chequered">#REF!</definedName>
    <definedName name="chhtnc">'[4]lam-moi'!#REF!</definedName>
    <definedName name="chhtvl">'[4]lam-moi'!#REF!</definedName>
    <definedName name="chnc">'[4]lam-moi'!#REF!</definedName>
    <definedName name="chvl">'[4]lam-moi'!#REF!</definedName>
    <definedName name="citidd">'[4]dongia (2)'!#REF!</definedName>
    <definedName name="CK">#REF!</definedName>
    <definedName name="cknc">'[4]lam-moi'!#REF!</definedName>
    <definedName name="ckvl">'[4]lam-moi'!#REF!</definedName>
    <definedName name="claybwk">'[36]Blk A'!$CH$187</definedName>
    <definedName name="client">#REF!</definedName>
    <definedName name="ClientState">'[40]Fill this out first...'!#REF!</definedName>
    <definedName name="ClientZip">'[40]Fill this out first...'!#REF!</definedName>
    <definedName name="CLOSET420">#REF!</definedName>
    <definedName name="CLOSET436">#REF!</definedName>
    <definedName name="closetJJK">#REF!</definedName>
    <definedName name="CLOSETJONG">#REF!</definedName>
    <definedName name="clvc1">[4]chitiet!$D$3</definedName>
    <definedName name="CLVC3">0.1</definedName>
    <definedName name="CLVCTB">#REF!</definedName>
    <definedName name="CN3p">'[4]TONGKE3p '!$X$295</definedName>
    <definedName name="CNP">#REF!</definedName>
    <definedName name="CO">#REF!</definedName>
    <definedName name="COARSE_AGGREGATE">'[27]DAFTAR HARGA'!#REF!</definedName>
    <definedName name="Coef">[41]Analisa!#REF!</definedName>
    <definedName name="Cöï_ly_vaän_chuyeãn">#REF!</definedName>
    <definedName name="CÖÏ_LY_VAÄN_CHUYEÅN">#REF!</definedName>
    <definedName name="color">#REF!</definedName>
    <definedName name="colorbond">#REF!</definedName>
    <definedName name="COMPOUND">#REF!</definedName>
    <definedName name="CON">#REF!</definedName>
    <definedName name="CONC_1">#REF!</definedName>
    <definedName name="conc25">[42]INDEX!$D$12</definedName>
    <definedName name="conc30">[42]INDEX!$D$13</definedName>
    <definedName name="conc35">[42]INDEX!$D$14</definedName>
    <definedName name="cong1x15">[4]giathanh1!#REF!</definedName>
    <definedName name="Conn">#REF!</definedName>
    <definedName name="Conn_Type">#REF!</definedName>
    <definedName name="consjoint">#REF!</definedName>
    <definedName name="_xlnm.Consolidate_Area" hidden="1">#N/A</definedName>
    <definedName name="CorBeton175">"$#REF!.$H$174"</definedName>
    <definedName name="corTG">#REF!</definedName>
    <definedName name="COST_FACTOR">[43]SUMMARY!$E$60</definedName>
    <definedName name="Cot_thep">[44]Du_lieu!$C$19</definedName>
    <definedName name="cov">#N/A</definedName>
    <definedName name="cover">#REF!</definedName>
    <definedName name="CPVC100">#REF!</definedName>
    <definedName name="CPVC1KM">'[4]TH VL, NC, DDHT Thanhphuoc'!$J$19</definedName>
    <definedName name="CPVCDN">'[4]#REF'!$K$33</definedName>
    <definedName name="CR_ALL">#REF!</definedName>
    <definedName name="CRD">#REF!</definedName>
    <definedName name="CRS">#REF!</definedName>
    <definedName name="CS">#REF!</definedName>
    <definedName name="csbwk">[11]Bldg!#REF!</definedName>
    <definedName name="csd3p">#REF!</definedName>
    <definedName name="csddg1p">#REF!</definedName>
    <definedName name="csddt1p">#REF!</definedName>
    <definedName name="csht3p">#REF!</definedName>
    <definedName name="CSSSSSS">#REF!</definedName>
    <definedName name="CT">#REF!</definedName>
    <definedName name="ctbsr2">#REF!</definedName>
    <definedName name="cti3x15">[4]giathanh1!#REF!</definedName>
    <definedName name="CUL">#REF!</definedName>
    <definedName name="culy1">[4]DONGIA!#REF!</definedName>
    <definedName name="culy2">[4]DONGIA!#REF!</definedName>
    <definedName name="culy3">[4]DONGIA!#REF!</definedName>
    <definedName name="culy4">[4]DONGIA!#REF!</definedName>
    <definedName name="culy5">[4]DONGIA!#REF!</definedName>
    <definedName name="cuoc">[4]DONGIA!#REF!</definedName>
    <definedName name="cv">[45]gvl!$N$17</definedName>
    <definedName name="CX">#REF!</definedName>
    <definedName name="cxhtnc">'[4]lam-moi'!#REF!</definedName>
    <definedName name="cxhtvl">'[4]lam-moi'!#REF!</definedName>
    <definedName name="cxnc">'[4]lam-moi'!#REF!</definedName>
    <definedName name="cxvl">'[4]lam-moi'!#REF!</definedName>
    <definedName name="cxxnc">'[4]lam-moi'!#REF!</definedName>
    <definedName name="cxxvl">'[4]lam-moi'!#REF!</definedName>
    <definedName name="D">#REF!</definedName>
    <definedName name="D_1">#REF!</definedName>
    <definedName name="D_LL">[46]Sheet1!$B$12:$M$18</definedName>
    <definedName name="D1a">#REF!</definedName>
    <definedName name="D1b">#REF!</definedName>
    <definedName name="D1c">#REF!</definedName>
    <definedName name="D1d">#REF!</definedName>
    <definedName name="D1g">#REF!</definedName>
    <definedName name="D1h">#REF!</definedName>
    <definedName name="D1x49">[4]chitimc!#REF!</definedName>
    <definedName name="D1x49x49">[4]chitimc!#REF!</definedName>
    <definedName name="d24nc">'[4]lam-moi'!#REF!</definedName>
    <definedName name="d24vl">'[4]lam-moi'!#REF!</definedName>
    <definedName name="D2a">#REF!</definedName>
    <definedName name="D2b">#REF!</definedName>
    <definedName name="D2c">#REF!</definedName>
    <definedName name="D3a">#REF!</definedName>
    <definedName name="D4a">#REF!</definedName>
    <definedName name="D4b">#REF!</definedName>
    <definedName name="D4c">#REF!</definedName>
    <definedName name="D5a">#REF!</definedName>
    <definedName name="D5b">#REF!</definedName>
    <definedName name="D5c">#REF!</definedName>
    <definedName name="daa">#REF!</definedName>
    <definedName name="DAERAH">#REF!</definedName>
    <definedName name="Daf.4">#REF!</definedName>
    <definedName name="DAF_10">#REF!</definedName>
    <definedName name="DAF_12">'[23]daf-7(OK)'!#REF!</definedName>
    <definedName name="DAF_4">#REF!</definedName>
    <definedName name="DAF_6">'[23]daf-3(OK)'!#REF!</definedName>
    <definedName name="Daf_mat">[47]Pipe!$A$12:$I$33</definedName>
    <definedName name="Daf_mt">[47]Pipe!$1:$10</definedName>
    <definedName name="dak">#REF!</definedName>
    <definedName name="DATA">#REF!</definedName>
    <definedName name="Date">'[40]Fill this out first...'!$D$16</definedName>
    <definedName name="DAX">#REF!</definedName>
    <definedName name="DBX">#REF!</definedName>
    <definedName name="DCX">#REF!</definedName>
    <definedName name="DD">#REF!</definedName>
    <definedName name="dd1pnc">[4]chitiet!$G$404</definedName>
    <definedName name="dd1pvl">[4]chitiet!$G$383</definedName>
    <definedName name="dd1x2">[45]gvl!$N$9</definedName>
    <definedName name="dd3pctnc">'[4]lam-moi'!#REF!</definedName>
    <definedName name="dd3pctvl">'[4]lam-moi'!#REF!</definedName>
    <definedName name="dd3plmvl">'[4]lam-moi'!#REF!</definedName>
    <definedName name="dd3pnc">'[4]lam-moi'!#REF!</definedName>
    <definedName name="dd3pvl">'[4]lam-moi'!#REF!</definedName>
    <definedName name="DDD">#REF!</definedName>
    <definedName name="ddgbt">#REF!</definedName>
    <definedName name="ddhtnc">'[4]lam-moi'!#REF!</definedName>
    <definedName name="ddhtvl">'[4]lam-moi'!#REF!</definedName>
    <definedName name="ddt2nc">[4]gtrinh!#REF!</definedName>
    <definedName name="ddt2vl">[4]gtrinh!#REF!</definedName>
    <definedName name="ddtd3pnc">'[4]thao-go'!#REF!</definedName>
    <definedName name="ddtt1pnc">[4]gtrinh!#REF!</definedName>
    <definedName name="ddtt1pvl">[4]gtrinh!#REF!</definedName>
    <definedName name="ddtt3pnc">[4]gtrinh!#REF!</definedName>
    <definedName name="ddtt3pvl">[4]gtrinh!#REF!</definedName>
    <definedName name="DDX">#REF!</definedName>
    <definedName name="deck">#REF!</definedName>
    <definedName name="detib2100">#REF!</definedName>
    <definedName name="detib2120">#REF!</definedName>
    <definedName name="detib250">#REF!</definedName>
    <definedName name="detib260">#REF!</definedName>
    <definedName name="detib280">#REF!</definedName>
    <definedName name="DFDF">#REF!</definedName>
    <definedName name="dgk">#REF!</definedName>
    <definedName name="DGM">[4]DONGIA!$A$453:$F$459</definedName>
    <definedName name="dgn" localSheetId="14" hidden="1">{"'AC-q1'!$B$523"}</definedName>
    <definedName name="dgn" localSheetId="42" hidden="1">{"'AC-q1'!$B$523"}</definedName>
    <definedName name="dgn" hidden="1">{"'AC-q1'!$B$523"}</definedName>
    <definedName name="dgnc">#REF!</definedName>
    <definedName name="DGTH">[4]DONGIA!#REF!</definedName>
    <definedName name="DGTH1">[4]DONGIA!$A$414:$G$452</definedName>
    <definedName name="dgth2">[4]DONGIA!$A$414:$G$439</definedName>
    <definedName name="DGTR">[4]DONGIA!$A$472:$I$521</definedName>
    <definedName name="dgvl">#REF!</definedName>
    <definedName name="DGVL1">[4]DONGIA!$A$5:$F$235</definedName>
    <definedName name="DGVT">'[4]DON GIA'!$C$5:$G$137</definedName>
    <definedName name="dka">#REF!</definedName>
    <definedName name="dkk">#REF!</definedName>
    <definedName name="DL15HT">'[4]TONGKE-HT'!#REF!</definedName>
    <definedName name="DL16HT">'[4]TONGKE-HT'!#REF!</definedName>
    <definedName name="DL19HT">'[4]TONGKE-HT'!#REF!</definedName>
    <definedName name="DL20HT">'[4]TONGKE-HT'!#REF!</definedName>
    <definedName name="dldl1100">'[48]Isolasi Luar Dalam'!$N$46</definedName>
    <definedName name="dldl160">'[48]Isolasi Luar Dalam'!$L$46</definedName>
    <definedName name="dldl180">'[48]Isolasi Luar Dalam'!$M$46</definedName>
    <definedName name="dldlg100">'[48]Isolasi Luar Dalam'!$N$23</definedName>
    <definedName name="DLL">#REF!</definedName>
    <definedName name="dllg100">'[48]Isolasi Luar'!$N$342</definedName>
    <definedName name="dllg120">'[48]Isolasi Luar'!$O$342</definedName>
    <definedName name="dllg50">'[48]Isolasi Luar'!$K$342</definedName>
    <definedName name="dllg60">'[48]Isolasi Luar'!$L$342</definedName>
    <definedName name="dllg80">'[48]Isolasi Luar'!$M$342</definedName>
    <definedName name="dlpar38120">#REF!</definedName>
    <definedName name="dlplc13w">#REF!</definedName>
    <definedName name="dlplc13wbimc">#REF!</definedName>
    <definedName name="DODOL">#REF!</definedName>
    <definedName name="DOLAR">[43]SUMMARY!$E$59</definedName>
    <definedName name="dolar04">'[49]BoQ C4'!#REF!</definedName>
    <definedName name="DOMBA">#REF!</definedName>
    <definedName name="dongia">[4]DG!$A$4:$I$567</definedName>
    <definedName name="dongia1">[4]DG!$A$4:$H$606</definedName>
    <definedName name="dozer">#REF!</definedName>
    <definedName name="dpa">#REF!</definedName>
    <definedName name="DPC">'[36]Blk A'!$CH$186</definedName>
    <definedName name="dpk">#REF!</definedName>
    <definedName name="dpm">#REF!</definedName>
    <definedName name="drilb2100">#REF!</definedName>
    <definedName name="drilb2120">#REF!</definedName>
    <definedName name="drilb250">#REF!</definedName>
    <definedName name="drilb260">#REF!</definedName>
    <definedName name="drilb280">#REF!</definedName>
    <definedName name="drildl3a100">#REF!</definedName>
    <definedName name="drildl3a120">#REF!</definedName>
    <definedName name="drildl3a50">#REF!</definedName>
    <definedName name="drildl3a60">#REF!</definedName>
    <definedName name="drildl3a80">#REF!</definedName>
    <definedName name="drill1100">#REF!</definedName>
    <definedName name="drill1120">#REF!</definedName>
    <definedName name="drill150">#REF!</definedName>
    <definedName name="drill160">#REF!</definedName>
    <definedName name="drill180">#REF!</definedName>
    <definedName name="drill3100">#REF!</definedName>
    <definedName name="drill3120">#REF!</definedName>
    <definedName name="drill350">#REF!</definedName>
    <definedName name="drill360">#REF!</definedName>
    <definedName name="drill380">#REF!</definedName>
    <definedName name="drill5100">#REF!</definedName>
    <definedName name="drill5120">#REF!</definedName>
    <definedName name="drill550">#REF!</definedName>
    <definedName name="drill560">#REF!</definedName>
    <definedName name="drill580">#REF!</definedName>
    <definedName name="drill5a100">#REF!</definedName>
    <definedName name="drill5a120">#REF!</definedName>
    <definedName name="drill5a50">#REF!</definedName>
    <definedName name="drill5a60">#REF!</definedName>
    <definedName name="drill5a80">#REF!</definedName>
    <definedName name="drill6a100">#REF!</definedName>
    <definedName name="drill6a120">#REF!</definedName>
    <definedName name="drill6a50">#REF!</definedName>
    <definedName name="drill6a60">#REF!</definedName>
    <definedName name="drill6a80">#REF!</definedName>
    <definedName name="drillug100">#REF!</definedName>
    <definedName name="drillug120">#REF!</definedName>
    <definedName name="drillug50">#REF!</definedName>
    <definedName name="drillug60">#REF!</definedName>
    <definedName name="drillug80">#REF!</definedName>
    <definedName name="ds1pnc">#REF!</definedName>
    <definedName name="ds1pvl">#REF!</definedName>
    <definedName name="ds3pnc">#REF!</definedName>
    <definedName name="ds3pvl">#REF!</definedName>
    <definedName name="dsct3pnc">'[4]#REF'!#REF!</definedName>
    <definedName name="dsct3pvl">'[4]#REF'!#REF!</definedName>
    <definedName name="dsilb2100">#REF!</definedName>
    <definedName name="dsilb2120">#REF!</definedName>
    <definedName name="dsilb250">#REF!</definedName>
    <definedName name="dsilb260">#REF!</definedName>
    <definedName name="dsilb280">#REF!</definedName>
    <definedName name="dsildb2100">#REF!</definedName>
    <definedName name="dsildb2120">#REF!</definedName>
    <definedName name="dsildb250">#REF!</definedName>
    <definedName name="dsildb260">#REF!</definedName>
    <definedName name="dsildb280">#REF!</definedName>
    <definedName name="dsildl1100">#REF!</definedName>
    <definedName name="dsildl1120">#REF!</definedName>
    <definedName name="dsildl150">#REF!</definedName>
    <definedName name="dsildl160">#REF!</definedName>
    <definedName name="dsildl180">#REF!</definedName>
    <definedName name="dsildl3100">#REF!</definedName>
    <definedName name="dsildl3120">#REF!</definedName>
    <definedName name="dsildl350">#REF!</definedName>
    <definedName name="dsildl360">#REF!</definedName>
    <definedName name="dsildl380">#REF!</definedName>
    <definedName name="dsildl3a100">#REF!</definedName>
    <definedName name="dsildl3a120">#REF!</definedName>
    <definedName name="dsildl3a50">#REF!</definedName>
    <definedName name="dsildl3a60">#REF!</definedName>
    <definedName name="dsildl3a80">#REF!</definedName>
    <definedName name="dsildl5100">#REF!</definedName>
    <definedName name="dsildl5120">#REF!</definedName>
    <definedName name="dsildl550">#REF!</definedName>
    <definedName name="dsildl560">#REF!</definedName>
    <definedName name="dsildl580">#REF!</definedName>
    <definedName name="dsildl5a100">#REF!</definedName>
    <definedName name="dsildl5a120">#REF!</definedName>
    <definedName name="dsildl5a50">#REF!</definedName>
    <definedName name="dsildl5a60">#REF!</definedName>
    <definedName name="dsildl5a80">#REF!</definedName>
    <definedName name="dsildl6a100">#REF!</definedName>
    <definedName name="dsildl6a120">#REF!</definedName>
    <definedName name="dsildl6a50">#REF!</definedName>
    <definedName name="dsildl6a60">#REF!</definedName>
    <definedName name="dsildl6a80">#REF!</definedName>
    <definedName name="dsildlug100">#REF!</definedName>
    <definedName name="dsildlug120">#REF!</definedName>
    <definedName name="dsildlug50">#REF!</definedName>
    <definedName name="dsildlug60">#REF!</definedName>
    <definedName name="dsildlug80">#REF!</definedName>
    <definedName name="dsill1100">#REF!</definedName>
    <definedName name="dsill1120">#REF!</definedName>
    <definedName name="dsill150">#REF!</definedName>
    <definedName name="dsill160">#REF!</definedName>
    <definedName name="dsill180">#REF!</definedName>
    <definedName name="dsill3100">#REF!</definedName>
    <definedName name="dsill3120">#REF!</definedName>
    <definedName name="dsill350">#REF!</definedName>
    <definedName name="dsill360">#REF!</definedName>
    <definedName name="dsill380">#REF!</definedName>
    <definedName name="dsill3a100">#REF!</definedName>
    <definedName name="dsill3a120">#REF!</definedName>
    <definedName name="dsill3a50">#REF!</definedName>
    <definedName name="dsill3a60">#REF!</definedName>
    <definedName name="dsill3a80">#REF!</definedName>
    <definedName name="dsill5100">#REF!</definedName>
    <definedName name="dsill5120">#REF!</definedName>
    <definedName name="dsill550">#REF!</definedName>
    <definedName name="dsill560">#REF!</definedName>
    <definedName name="dsill580">#REF!</definedName>
    <definedName name="dsill5a100">#REF!</definedName>
    <definedName name="dsill5a120">#REF!</definedName>
    <definedName name="dsill5a50">#REF!</definedName>
    <definedName name="dsill5a60">#REF!</definedName>
    <definedName name="dsill5a80">#REF!</definedName>
    <definedName name="dsill6a100">#REF!</definedName>
    <definedName name="dsill6a120">#REF!</definedName>
    <definedName name="dsill6a50">#REF!</definedName>
    <definedName name="dsill6a60">#REF!</definedName>
    <definedName name="dsill6a80">#REF!</definedName>
    <definedName name="dsillug100">#REF!</definedName>
    <definedName name="dsillug120">#REF!</definedName>
    <definedName name="dsillug50">#REF!</definedName>
    <definedName name="dsillug60">#REF!</definedName>
    <definedName name="dsillug80">#REF!</definedName>
    <definedName name="dstib2100">#REF!</definedName>
    <definedName name="dstib2120">#REF!</definedName>
    <definedName name="dstib250">#REF!</definedName>
    <definedName name="dstib260">#REF!</definedName>
    <definedName name="dstib280">#REF!</definedName>
    <definedName name="dump">#REF!</definedName>
    <definedName name="duong1">[4]DONGIA!#REF!</definedName>
    <definedName name="duong2">[4]DONGIA!#REF!</definedName>
    <definedName name="duong3">[4]DONGIA!#REF!</definedName>
    <definedName name="duong4">[4]DONGIA!#REF!</definedName>
    <definedName name="duong5">[4]DONGIA!#REF!</definedName>
    <definedName name="DYNA16">[31]HARGA!$D$14</definedName>
    <definedName name="E">#REF!</definedName>
    <definedName name="E_1">#REF!</definedName>
    <definedName name="EA">#REF!</definedName>
    <definedName name="EA1.1">#REF!</definedName>
    <definedName name="EA1.2">#REF!</definedName>
    <definedName name="EA1.3">#REF!</definedName>
    <definedName name="EA2.1">#REF!</definedName>
    <definedName name="EA2.2">#REF!</definedName>
    <definedName name="EA2.3">#REF!</definedName>
    <definedName name="EA2.5">#REF!</definedName>
    <definedName name="EA2.6">#REF!</definedName>
    <definedName name="EA2.7">#REF!</definedName>
    <definedName name="EA2.8">#REF!</definedName>
    <definedName name="EA21.1">#REF!</definedName>
    <definedName name="EA21.2">#REF!</definedName>
    <definedName name="EA21.3">#REF!</definedName>
    <definedName name="EA21.4">#REF!</definedName>
    <definedName name="EA21.5">#REF!</definedName>
    <definedName name="EA3.1">#REF!</definedName>
    <definedName name="EA3.2">#REF!</definedName>
    <definedName name="EA3.3">#REF!</definedName>
    <definedName name="EA3.4">#REF!</definedName>
    <definedName name="EB">#REF!</definedName>
    <definedName name="EB1.1">#REF!</definedName>
    <definedName name="EC1.1">#REF!</definedName>
    <definedName name="ED1.1">#REF!</definedName>
    <definedName name="EEE">#REF!</definedName>
    <definedName name="EEX">#REF!</definedName>
    <definedName name="EFX">#REF!</definedName>
    <definedName name="EGX">#REF!</definedName>
    <definedName name="EHX">#REF!</definedName>
    <definedName name="EJX">#REF!</definedName>
    <definedName name="EKX">#REF!</definedName>
    <definedName name="ELBOW6">#REF!</definedName>
    <definedName name="elek">#REF!</definedName>
    <definedName name="ELEKTRIKAL">#REF!</definedName>
    <definedName name="Elektronik">#REF!</definedName>
    <definedName name="ELX">#REF!</definedName>
    <definedName name="emultion">#REF!</definedName>
    <definedName name="enamel">#REF!</definedName>
    <definedName name="ENGSEL">#REF!</definedName>
    <definedName name="ENTRANCE">#REF!</definedName>
    <definedName name="eol">#REF!</definedName>
    <definedName name="EREC">#REF!</definedName>
    <definedName name="exc">[11]Bldg!#REF!</definedName>
    <definedName name="exca">#REF!</definedName>
    <definedName name="Excel_BuiltIn_Print_Area">#REF!</definedName>
    <definedName name="Excel_BuiltIn_Print_Area_1">'[50]Type 57  A'!#REF!</definedName>
    <definedName name="Excel_BuiltIn_Print_Area_1_1">'[51]Type 57  A'!#REF!</definedName>
    <definedName name="Excel_BuiltIn_Print_Area_10">#REF!</definedName>
    <definedName name="Excel_BuiltIn_Print_Area_11">#REF!</definedName>
    <definedName name="Excel_BuiltIn_Print_Area_12">#REF!</definedName>
    <definedName name="Excel_BuiltIn_Print_Area_12_1">#REF!</definedName>
    <definedName name="Excel_BuiltIn_Print_Area_13">#REF!</definedName>
    <definedName name="Excel_BuiltIn_Print_Area_13_1">#REF!</definedName>
    <definedName name="Excel_BuiltIn_Print_Area_14">#REF!</definedName>
    <definedName name="Excel_BuiltIn_Print_Area_15">#REF!</definedName>
    <definedName name="Excel_BuiltIn_Print_Area_16">#REF!</definedName>
    <definedName name="Excel_BuiltIn_Print_Area_17">#REF!</definedName>
    <definedName name="Excel_BuiltIn_Print_Area_18">#REF!</definedName>
    <definedName name="Excel_BuiltIn_Print_Area_2">#REF!</definedName>
    <definedName name="Excel_BuiltIn_Print_Area_2_1">#REF!</definedName>
    <definedName name="Excel_BuiltIn_Print_Area_2_1_1">#REF!</definedName>
    <definedName name="Excel_BuiltIn_Print_Area_2_1_1_1">#REF!</definedName>
    <definedName name="Excel_BuiltIn_Print_Area_2_7">#REF!</definedName>
    <definedName name="Excel_BuiltIn_Print_Area_24_1">#REF!</definedName>
    <definedName name="Excel_BuiltIn_Print_Area_25_1">#REF!</definedName>
    <definedName name="Excel_BuiltIn_Print_Area_3">#REF!</definedName>
    <definedName name="Excel_BuiltIn_Print_Area_3_1">#REF!</definedName>
    <definedName name="Excel_BuiltIn_Print_Area_3_1_1">#REF!,#REF!</definedName>
    <definedName name="Excel_BuiltIn_Print_Area_3_1_1_1">#REF!</definedName>
    <definedName name="Excel_BuiltIn_Print_Area_3_1_1_1_1">#REF!</definedName>
    <definedName name="Excel_BuiltIn_Print_Area_4">#REF!</definedName>
    <definedName name="Excel_BuiltIn_Print_Area_4_1">#REF!</definedName>
    <definedName name="Excel_BuiltIn_Print_Area_4_1_1">#REF!</definedName>
    <definedName name="Excel_BuiltIn_Print_Area_4_1_1_1">#REF!</definedName>
    <definedName name="Excel_BuiltIn_Print_Area_5">#REF!</definedName>
    <definedName name="Excel_BuiltIn_Print_Area_5_1">#REF!</definedName>
    <definedName name="Excel_BuiltIn_Print_Area_5_1_1">#REF!</definedName>
    <definedName name="Excel_BuiltIn_Print_Area_5_1_1_1">#REF!</definedName>
    <definedName name="Excel_BuiltIn_Print_Area_6">#REF!</definedName>
    <definedName name="Excel_BuiltIn_Print_Area_7">#REF!</definedName>
    <definedName name="Excel_BuiltIn_Print_Area_8">#REF!</definedName>
    <definedName name="Excel_BuiltIn_Print_Area_9">#REF!</definedName>
    <definedName name="Excel_BuiltIn_Print_Titles">#REF!</definedName>
    <definedName name="Excel_BuiltIn_Print_Titles_1">"$#REF!.$A$11:$IV$12"</definedName>
    <definedName name="Excel_BuiltIn_Print_Titles_1_1">#REF!</definedName>
    <definedName name="Excel_BuiltIn_Print_Titles_10">#REF!</definedName>
    <definedName name="Excel_BuiltIn_Print_Titles_11">#REF!</definedName>
    <definedName name="Excel_BuiltIn_Print_Titles_12">#REF!</definedName>
    <definedName name="Excel_BuiltIn_Print_Titles_12_1">#REF!</definedName>
    <definedName name="Excel_BuiltIn_Print_Titles_13">#REF!</definedName>
    <definedName name="Excel_BuiltIn_Print_Titles_13_1">#REF!</definedName>
    <definedName name="Excel_BuiltIn_Print_Titles_14">#REF!</definedName>
    <definedName name="Excel_BuiltIn_Print_Titles_15">#REF!</definedName>
    <definedName name="Excel_BuiltIn_Print_Titles_16">#REF!</definedName>
    <definedName name="Excel_BuiltIn_Print_Titles_17">#REF!</definedName>
    <definedName name="Excel_BuiltIn_Print_Titles_18">#REF!</definedName>
    <definedName name="Excel_BuiltIn_Print_Titles_2">#REF!</definedName>
    <definedName name="Excel_BuiltIn_Print_Titles_2_1">#REF!</definedName>
    <definedName name="Excel_BuiltIn_Print_Titles_3">#REF!</definedName>
    <definedName name="Excel_BuiltIn_Print_Titles_3_1">#REF!</definedName>
    <definedName name="Excel_BuiltIn_Print_Titles_3_1_1">#REF!</definedName>
    <definedName name="Excel_BuiltIn_Print_Titles_4">#REF!</definedName>
    <definedName name="Excel_BuiltIn_Print_Titles_4_1">#REF!</definedName>
    <definedName name="Excel_BuiltIn_Print_Titles_5">#REF!</definedName>
    <definedName name="Excel_BuiltIn_Print_Titles_6">#REF!</definedName>
    <definedName name="Excel_BuiltIn_Print_Titles_7">#REF!</definedName>
    <definedName name="Excel_BuiltIn_Print_Titles_8">#REF!</definedName>
    <definedName name="Excel_BuiltIn_Print_Titles_8_1">#REF!</definedName>
    <definedName name="Excel_BuiltIn_Print_Titles_8_7">#REF!</definedName>
    <definedName name="Excel_BuiltIn_Print_Titles_9">#REF!</definedName>
    <definedName name="Ext_L">#REF!</definedName>
    <definedName name="Ext_r">[33]Data!$E$3:$F$21</definedName>
    <definedName name="ExtPaint">#REF!</definedName>
    <definedName name="ExtPlas">#REF!</definedName>
    <definedName name="EXTRA">#REF!</definedName>
    <definedName name="f">#REF!</definedName>
    <definedName name="F_S">#REF!</definedName>
    <definedName name="F_SL" localSheetId="14">FST:(FSB)</definedName>
    <definedName name="F_SL" localSheetId="42">FST:(FSB)</definedName>
    <definedName name="F_SL">FST:(FSB)</definedName>
    <definedName name="f_sl1" localSheetId="14">FST:(FSB)</definedName>
    <definedName name="f_sl1" localSheetId="42">FST:(FSB)</definedName>
    <definedName name="f_sl1">FST:(FSB)</definedName>
    <definedName name="f92F56" localSheetId="42">[4]dtxl!#REF!</definedName>
    <definedName name="f92F56">[4]dtxl!#REF!</definedName>
    <definedName name="FA" localSheetId="42">#REF!</definedName>
    <definedName name="FA">#REF!</definedName>
    <definedName name="faab" localSheetId="42">#REF!</definedName>
    <definedName name="faab">#REF!</definedName>
    <definedName name="FAB">#REF!</definedName>
    <definedName name="facm">#REF!</definedName>
    <definedName name="facp">#REF!</definedName>
    <definedName name="faeol">#REF!</definedName>
    <definedName name="fahd">#REF!</definedName>
    <definedName name="fahdt">#REF!</definedName>
    <definedName name="fahs">#REF!</definedName>
    <definedName name="fail">#REF!</definedName>
    <definedName name="faitc">#REF!</definedName>
    <definedName name="faki">#REF!</definedName>
    <definedName name="faktd">#REF!</definedName>
    <definedName name="FAKTOR_BAHAN_SANITAIR_GROHE">#REF!</definedName>
    <definedName name="fam">#REF!</definedName>
    <definedName name="famcp">#REF!</definedName>
    <definedName name="faoi">#REF!</definedName>
    <definedName name="far">#REF!</definedName>
    <definedName name="FASC">#REF!</definedName>
    <definedName name="fasd">#REF!</definedName>
    <definedName name="fasdt">#REF!</definedName>
    <definedName name="fat">#REF!</definedName>
    <definedName name="FB">#REF!</definedName>
    <definedName name="feco25">#REF!</definedName>
    <definedName name="fedc2">#REF!</definedName>
    <definedName name="fedc35">#REF!</definedName>
    <definedName name="fee">#REF!</definedName>
    <definedName name="FEX">#REF!</definedName>
    <definedName name="fffff">#REF!</definedName>
    <definedName name="FFX">#REF!</definedName>
    <definedName name="FGX">#REF!</definedName>
    <definedName name="FHX">#REF!</definedName>
    <definedName name="fiber">#REF!</definedName>
    <definedName name="FIN">#REF!</definedName>
    <definedName name="FINE_AGGREGATE" localSheetId="42">'[27]DAFTAR HARGA'!#REF!</definedName>
    <definedName name="FINE_AGGREGATE">'[27]DAFTAR HARGA'!#REF!</definedName>
    <definedName name="finisharsitek">#REF!</definedName>
    <definedName name="finishbaja">#REF!</definedName>
    <definedName name="finishsipil">#REF!</definedName>
    <definedName name="finM2">#REF!</definedName>
    <definedName name="FIRST_FLOOR">#REF!</definedName>
    <definedName name="FIT">#REF!</definedName>
    <definedName name="FITFS">#REF!</definedName>
    <definedName name="FITT">#REF!</definedName>
    <definedName name="FJX">#REF!</definedName>
    <definedName name="fkx">#REF!</definedName>
    <definedName name="FLASH">#REF!</definedName>
    <definedName name="flashing">#REF!</definedName>
    <definedName name="flmh400">#REF!</definedName>
    <definedName name="floorDR">#REF!</definedName>
    <definedName name="FLOORDRAIN">#REF!</definedName>
    <definedName name="floorhard">#REF!</definedName>
    <definedName name="flx">#REF!</definedName>
    <definedName name="FO">#REF!</definedName>
    <definedName name="FOR">#REF!</definedName>
    <definedName name="formbalok001">#REF!</definedName>
    <definedName name="formkolom001">#REF!</definedName>
    <definedName name="formplat001">#REF!</definedName>
    <definedName name="FR">#REF!</definedName>
    <definedName name="frc4x10">#REF!</definedName>
    <definedName name="frc4x1x400">#REF!</definedName>
    <definedName name="frc4x25">#REF!</definedName>
    <definedName name="frc4x300">#REF!</definedName>
    <definedName name="frc4x35">#REF!</definedName>
    <definedName name="frc4x95">#REF!</definedName>
    <definedName name="frc5x4">#REF!</definedName>
    <definedName name="frc5x6">#REF!</definedName>
    <definedName name="frdasojdfoafjsdkf">#N/A</definedName>
    <definedName name="fs">#REF!</definedName>
    <definedName name="FSB">#REF!</definedName>
    <definedName name="FSDATA">#REF!</definedName>
    <definedName name="FST">#REF!</definedName>
    <definedName name="fsvd100">#REF!</definedName>
    <definedName name="fsvd150">#REF!</definedName>
    <definedName name="fsvd65">#REF!</definedName>
    <definedName name="FURNITURE__FURNISHING">#REF!</definedName>
    <definedName name="fwk">[10]index!$J$17</definedName>
    <definedName name="G">#REF!</definedName>
    <definedName name="gali">#REF!</definedName>
    <definedName name="Galian">#REF!</definedName>
    <definedName name="Galian_Tanah">#REF!</definedName>
    <definedName name="galiantanahbiasa">'[32]Analisa Harga'!$H$15</definedName>
    <definedName name="GALV05">#REF!</definedName>
    <definedName name="GALV075">#REF!</definedName>
    <definedName name="GALV10">#REF!</definedName>
    <definedName name="garduarsitek">#REF!</definedName>
    <definedName name="gardusipil">#REF!</definedName>
    <definedName name="Gelap">#REF!</definedName>
    <definedName name="GENTENGCSK">#REF!</definedName>
    <definedName name="GENTEPI">#REF!</definedName>
    <definedName name="GENTMETAL">#REF!</definedName>
    <definedName name="gf">#REF!</definedName>
    <definedName name="ghgfjhh">[52]Cover!$A$1</definedName>
    <definedName name="GIU">#REF!</definedName>
    <definedName name="GL">#REF!</definedName>
    <definedName name="gl3p">#REF!</definedName>
    <definedName name="GLAS">[12]Material!#REF!</definedName>
    <definedName name="glas1">[21]Material!#REF!</definedName>
    <definedName name="GLASSBKOCK">#REF!</definedName>
    <definedName name="glassblok">#REF!</definedName>
    <definedName name="GLWO">[12]Material!#REF!</definedName>
    <definedName name="govpd15">#REF!</definedName>
    <definedName name="gpek">#REF!</definedName>
    <definedName name="GR">#REF!</definedName>
    <definedName name="grader">#REF!</definedName>
    <definedName name="GRAND_PALEMBANG_HOTEL___PALEMBANG">#REF!</definedName>
    <definedName name="GRANITO30">#REF!</definedName>
    <definedName name="GRANITO40">#REF!</definedName>
    <definedName name="GRANITO60">#REF!</definedName>
    <definedName name="grc">#REF!</definedName>
    <definedName name="GROUND_FLOOR">#REF!</definedName>
    <definedName name="grout">#REF!</definedName>
    <definedName name="GRUND250">#REF!</definedName>
    <definedName name="GRUND450">#REF!</definedName>
    <definedName name="gs110g">#REF!</definedName>
    <definedName name="gs14g">#REF!</definedName>
    <definedName name="gs55g">#REF!</definedName>
    <definedName name="gs6g">#REF!</definedName>
    <definedName name="gs80g">#REF!</definedName>
    <definedName name="GT">#REF!</definedName>
    <definedName name="GTKANMURI">#REF!</definedName>
    <definedName name="GYPSUM">#REF!</definedName>
    <definedName name="h">#REF!</definedName>
    <definedName name="h_angkur_22">#REF!</definedName>
    <definedName name="h_angkur_25">#REF!</definedName>
    <definedName name="h_baja_c">#REF!</definedName>
    <definedName name="h_baja_pelat">#REF!</definedName>
    <definedName name="h_baja_wf">#REF!</definedName>
    <definedName name="h_baut_12">#REF!</definedName>
    <definedName name="h_baut_16">#REF!</definedName>
    <definedName name="h_baut_19">#REF!</definedName>
    <definedName name="h_baut_22">#REF!</definedName>
    <definedName name="h_baut_25">#REF!</definedName>
    <definedName name="h_baut_32">#REF!</definedName>
    <definedName name="h_besi">#REF!</definedName>
    <definedName name="h_beton_400">#REF!</definedName>
    <definedName name="h_bkstg_balok">#REF!</definedName>
    <definedName name="h_bkstg_kolom">#REF!</definedName>
    <definedName name="h_bkstg_pc">#REF!</definedName>
    <definedName name="h_bkstg_pelat">#REF!</definedName>
    <definedName name="h_bkstg_tangga">#REF!</definedName>
    <definedName name="h_buang_tnh">#REF!</definedName>
    <definedName name="h_galian_tnh">#REF!</definedName>
    <definedName name="h_grouting">#REF!</definedName>
    <definedName name="h_lt_kerja">#REF!</definedName>
    <definedName name="h_turn_buckle">#REF!</definedName>
    <definedName name="h_urug_psr">#REF!</definedName>
    <definedName name="h_urugan">#REF!</definedName>
    <definedName name="HAB_MS">[46]Sheet1!$B$29:$N$35</definedName>
    <definedName name="HAJIME">#REF!</definedName>
    <definedName name="hard">#REF!</definedName>
    <definedName name="hardener5">#REF!</definedName>
    <definedName name="Hb">'[14]QTO-11P'!$K$58</definedName>
    <definedName name="Hba">'[14]QTO-11P'!$K$116</definedName>
    <definedName name="HC">#REF!</definedName>
    <definedName name="hcbsr">#REF!</definedName>
    <definedName name="hcbsr2">#REF!</definedName>
    <definedName name="hdw">#REF!</definedName>
    <definedName name="Heä_soá_laép_xaø_H">1.7</definedName>
    <definedName name="heä_soá_sình_laày">#REF!</definedName>
    <definedName name="heavyduty">#REF!</definedName>
    <definedName name="hERO">[53]Pipe!$A$12:$I$34</definedName>
    <definedName name="hERO_aNADUCT">[53]Pipe!$1:$10</definedName>
    <definedName name="HH15HT">'[4]TONGKE-HT'!#REF!</definedName>
    <definedName name="HH16HT">'[4]TONGKE-HT'!#REF!</definedName>
    <definedName name="HH19HT">'[4]TONGKE-HT'!#REF!</definedName>
    <definedName name="HH20HT">'[4]TONGKE-HT'!#REF!</definedName>
    <definedName name="hil">#REF!</definedName>
    <definedName name="hit">#REF!</definedName>
    <definedName name="hj">#REF!</definedName>
    <definedName name="Ho">'[14]QTO-11P'!$K$59</definedName>
    <definedName name="HOLLOW24">#REF!</definedName>
    <definedName name="HOLLOW44">#REF!</definedName>
    <definedName name="HS">[28]Cost_BD_Steel!#REF!</definedName>
    <definedName name="HSCT3">0.1</definedName>
    <definedName name="hsdc1">#REF!</definedName>
    <definedName name="HSDD">[4]phuluc1!#REF!</definedName>
    <definedName name="HSDN">2.5</definedName>
    <definedName name="HSHH">#REF!</definedName>
    <definedName name="HSHHUT">#REF!</definedName>
    <definedName name="hskk1">[4]chitiet!$D$4</definedName>
    <definedName name="HSNC">[44]Du_lieu!$C$6</definedName>
    <definedName name="hspt">#REF!</definedName>
    <definedName name="HSSL">#REF!</definedName>
    <definedName name="hsut">#REF!</definedName>
    <definedName name="HSVC1">#REF!</definedName>
    <definedName name="HSVC2">#REF!</definedName>
    <definedName name="HSVC3">#REF!</definedName>
    <definedName name="hswt">#REF!</definedName>
    <definedName name="ht25nc">'[4]lam-moi'!#REF!</definedName>
    <definedName name="ht25vl">'[4]lam-moi'!#REF!</definedName>
    <definedName name="ht325nc">'[4]lam-moi'!#REF!</definedName>
    <definedName name="ht325vl">'[4]lam-moi'!#REF!</definedName>
    <definedName name="ht37k">'[4]lam-moi'!#REF!</definedName>
    <definedName name="ht37nc">'[4]lam-moi'!#REF!</definedName>
    <definedName name="ht50nc">'[4]lam-moi'!#REF!</definedName>
    <definedName name="ht50vl">'[4]lam-moi'!#REF!</definedName>
    <definedName name="HTBA32512">#REF!</definedName>
    <definedName name="HTBA32516">#REF!</definedName>
    <definedName name="HTBA32519">#REF!</definedName>
    <definedName name="HTBA32522">#REF!</definedName>
    <definedName name="HTBA32525">#REF!</definedName>
    <definedName name="HTML_CodePage" hidden="1">1252</definedName>
    <definedName name="HTML_Control" localSheetId="14" hidden="1">{"'CPA Sum'!$A$1:$X$30","'CPA'!$A$1:$K$187","'Infra Cost'!$A$1:$Q$30","'Dev't Cost'!$A$1:$AH$40","'Cashflow'!$A$1:$DG$82"}</definedName>
    <definedName name="HTML_Control" localSheetId="42" hidden="1">{"'CPA Sum'!$A$1:$X$30","'CPA'!$A$1:$K$187","'Infra Cost'!$A$1:$Q$30","'Dev't Cost'!$A$1:$AH$40","'Cashflow'!$A$1:$DG$82"}</definedName>
    <definedName name="HTML_Control" hidden="1">{"'CPA Sum'!$A$1:$X$30","'CPA'!$A$1:$K$187","'Infra Cost'!$A$1:$Q$30","'Dev't Cost'!$A$1:$AH$40","'Cashflow'!$A$1:$DG$82"}</definedName>
    <definedName name="HTML_Description" hidden="1">""</definedName>
    <definedName name="HTML_Email" hidden="1">"chanjh@nasionet.net.my"</definedName>
    <definedName name="HTML_Header" hidden="1">""</definedName>
    <definedName name="HTML_LastUpdate" hidden="1">"2/23/98"</definedName>
    <definedName name="HTML_LineAfter" hidden="1">FALSE</definedName>
    <definedName name="HTML_LineBefore" hidden="1">FALSE</definedName>
    <definedName name="HTML_Name" hidden="1">"SB Wong"</definedName>
    <definedName name="HTML_OBDlg2" hidden="1">TRUE</definedName>
    <definedName name="HTML_OBDlg4" hidden="1">TRUE</definedName>
    <definedName name="HTML_OS" hidden="1">0</definedName>
    <definedName name="HTML_PathFile" hidden="1">"C:\My Documents\$inti1.htm"</definedName>
    <definedName name="HTML_Title" hidden="1">"$inti1"</definedName>
    <definedName name="HTNC">#REF!</definedName>
    <definedName name="HTVL">#REF!</definedName>
    <definedName name="I2É6">[4]chitimc!#REF!</definedName>
    <definedName name="ihb">#REF!</definedName>
    <definedName name="ihbl">#REF!</definedName>
    <definedName name="IJUK">#REF!</definedName>
    <definedName name="incli">#REF!</definedName>
    <definedName name="Inessa4040">[54]Bahan!$D$32</definedName>
    <definedName name="INPUT">#REF!</definedName>
    <definedName name="INSU">#REF!</definedName>
    <definedName name="insulasi">#REF!</definedName>
    <definedName name="IntPaint">#REF!</definedName>
    <definedName name="IntPlas">#REF!</definedName>
    <definedName name="IPL">[55]IPL_SCHEDULE!#REF!</definedName>
    <definedName name="IPR_2">#REF!</definedName>
    <definedName name="IPR_20">'[56]A-11 Steel Str (2)'!#REF!</definedName>
    <definedName name="ITEM">#REF!</definedName>
    <definedName name="j">#REF!</definedName>
    <definedName name="jalanA001">#REF!</definedName>
    <definedName name="jalanB001">#REF!</definedName>
    <definedName name="jalanC001">#REF!</definedName>
    <definedName name="JASA">#REF!</definedName>
    <definedName name="JEFTA">#REF!</definedName>
    <definedName name="Jembatan">#REF!</definedName>
    <definedName name="JETWASHER">#REF!</definedName>
    <definedName name="jghjgjhg">[57]Cover!#REF!</definedName>
    <definedName name="jik">#REF!</definedName>
    <definedName name="JJ">#REF!</definedName>
    <definedName name="jkljlk">[58]Cover!#REF!</definedName>
    <definedName name="js">[59]Analisa!$J$7</definedName>
    <definedName name="JUDUL">#REF!</definedName>
    <definedName name="JUSTIFY">'[60]MAIN BQ'!#REF!</definedName>
    <definedName name="k">#REF!</definedName>
    <definedName name="K_225">[12]Material!#REF!</definedName>
    <definedName name="k2b">'[4]THPDMoi  (2)'!#REF!</definedName>
    <definedName name="KA">#REF!</definedName>
    <definedName name="KAAY">[12]Material!#REF!</definedName>
    <definedName name="kab">#REF!</definedName>
    <definedName name="KABEL_215">#REF!</definedName>
    <definedName name="KABEL_315">#REF!</definedName>
    <definedName name="KABEL_325">#REF!</definedName>
    <definedName name="KABELBC16">#REF!</definedName>
    <definedName name="KABELBC25">#REF!</definedName>
    <definedName name="KABELTEL">#REF!</definedName>
    <definedName name="KABELTV">#REF!</definedName>
    <definedName name="Kaca_Polos_3_mm">'[29]Daftar Harga'!$G$185</definedName>
    <definedName name="KACAB">#REF!</definedName>
    <definedName name="KACARAY1">#REF!</definedName>
    <definedName name="KACARAY2">#REF!</definedName>
    <definedName name="KALA">[12]Material!#REF!</definedName>
    <definedName name="KASA">#REF!</definedName>
    <definedName name="KASO">#REF!</definedName>
    <definedName name="KAWAT">#REF!</definedName>
    <definedName name="Kayu_Reng_Borneo_2_3">'[29]Daftar Harga'!$G$101</definedName>
    <definedName name="Kayu_terentang">'[29]Daftar Harga'!$G$87</definedName>
    <definedName name="kayubek">#REF!</definedName>
    <definedName name="kbat01">[19]PPC!#REF!</definedName>
    <definedName name="kbat02">[19]PPC!#REF!</definedName>
    <definedName name="KC">#REF!</definedName>
    <definedName name="KC_GG">#REF!</definedName>
    <definedName name="kd">#REF!</definedName>
    <definedName name="KENEK_TRUK">#REF!</definedName>
    <definedName name="Kep.tukang">#REF!</definedName>
    <definedName name="KEPALA_TUKANG_BATU">'[30]Daftar Upah'!$D$28</definedName>
    <definedName name="KEPALA_TUKANG_BESI_BETON">#REF!</definedName>
    <definedName name="KEPALA_TUKANG_BESI_PROFIL">#REF!</definedName>
    <definedName name="KEPALA_TUKANG_CAT___PELITUR">#REF!</definedName>
    <definedName name="KEPALA_TUKANG_GALI">'[29]Daftar Upah'!$D$32</definedName>
    <definedName name="KEPALA_TUKANG_KAYU">'[29]Daftar Upah'!$D$29</definedName>
    <definedName name="Keramik_Dalam">#REF!</definedName>
    <definedName name="Keramik_Dinding">#REF!</definedName>
    <definedName name="Keramik_KM">#REF!</definedName>
    <definedName name="KERAMIKDDG">#REF!</definedName>
    <definedName name="KERAMIKSERVICE">#REF!</definedName>
    <definedName name="kerba">[37]Bhn!#REF!</definedName>
    <definedName name="kerbb">[37]Bhn!#REF!</definedName>
    <definedName name="kfs">#REF!</definedName>
    <definedName name="kgs">#REF!</definedName>
    <definedName name="kitc100x2x0.6">#REF!</definedName>
    <definedName name="kitc2x100x2x0.6">#REF!</definedName>
    <definedName name="kji">#REF!</definedName>
    <definedName name="kjkll">[25]Cover!#REF!</definedName>
    <definedName name="kk10a">#REF!</definedName>
    <definedName name="kk16a">#REF!</definedName>
    <definedName name="kkm">#REF!</definedName>
    <definedName name="kknymhy">#REF!</definedName>
    <definedName name="kkts">#REF!</definedName>
    <definedName name="kldd1p">'[4]#REF'!#REF!</definedName>
    <definedName name="kldd3p">'[4]lam-moi'!#REF!</definedName>
    <definedName name="klem001">[61]Bahan!#REF!</definedName>
    <definedName name="klkgkhghjg">[52]Cover!#REF!</definedName>
    <definedName name="klosetDDK">#REF!</definedName>
    <definedName name="klosetJJK">#REF!</definedName>
    <definedName name="klosetJKK">#REF!</definedName>
    <definedName name="klp">#REF!</definedName>
    <definedName name="km">#REF!</definedName>
    <definedName name="kmm">#REF!</definedName>
    <definedName name="kmong">[4]giathanh1!#REF!</definedName>
    <definedName name="KNEE_075">#REF!</definedName>
    <definedName name="KNEE_125">#REF!</definedName>
    <definedName name="KNF">'[62]B - Norelec'!#REF!</definedName>
    <definedName name="KODE">#REF!</definedName>
    <definedName name="KOEF">[63]Analisa!$L$10</definedName>
    <definedName name="koef1">#REF!</definedName>
    <definedName name="koeflingg">#REF!</definedName>
    <definedName name="koeflingk">#REF!</definedName>
    <definedName name="kof">#REF!</definedName>
    <definedName name="koling">#REF!</definedName>
    <definedName name="kolom">#REF!</definedName>
    <definedName name="Kolom_Praktis">#REF!</definedName>
    <definedName name="Kolom_Struktur">#REF!</definedName>
    <definedName name="KONVER_A">'[64]hrg-sat.pek'!#REF!</definedName>
    <definedName name="KONVER_B">'[64]hrg-sat.pek'!#REF!</definedName>
    <definedName name="KOP">#REF!</definedName>
    <definedName name="kp1ph">#REF!</definedName>
    <definedName name="KRAM1">'[65]ANALISA HARGA SATUAN'!$M$341</definedName>
    <definedName name="kran">#REF!</definedName>
    <definedName name="KRANAIR">#REF!</definedName>
    <definedName name="KRANBATHTUB">#REF!</definedName>
    <definedName name="krddg001">#REF!</definedName>
    <definedName name="krmkddg">#REF!</definedName>
    <definedName name="krmklt">#REF!</definedName>
    <definedName name="ksa000">[19]PPC!#REF!</definedName>
    <definedName name="ksk">#REF!</definedName>
    <definedName name="kst">#REF!</definedName>
    <definedName name="ktpm">#REF!</definedName>
    <definedName name="KUSEN__PINTU__JENDELA__ALAT_ALAT_PENGGANTUNG_DAN_CURTAIN_WALL">#REF!</definedName>
    <definedName name="KUSENJATI">#REF!</definedName>
    <definedName name="KUSENKAMPER">#REF!</definedName>
    <definedName name="KWAS">#REF!</definedName>
    <definedName name="kwh1st">#REF!</definedName>
    <definedName name="kwh3st">#REF!</definedName>
    <definedName name="kwtDR">#REF!</definedName>
    <definedName name="ky">#REF!</definedName>
    <definedName name="l">#REF!</definedName>
    <definedName name="L_GG">#REF!</definedName>
    <definedName name="l1ti50">#REF!</definedName>
    <definedName name="l1ti60">#REF!</definedName>
    <definedName name="l3l100">#REF!</definedName>
    <definedName name="l3l50">#REF!</definedName>
    <definedName name="l3l60">#REF!</definedName>
    <definedName name="l3l70">#REF!</definedName>
    <definedName name="l3l80">#REF!</definedName>
    <definedName name="l3ld100">#REF!</definedName>
    <definedName name="l3ld50">#REF!</definedName>
    <definedName name="l3ld60">#REF!</definedName>
    <definedName name="l3ld70">#REF!</definedName>
    <definedName name="l3ld80">#REF!</definedName>
    <definedName name="l3ti50">#REF!</definedName>
    <definedName name="l3ti60">#REF!</definedName>
    <definedName name="l3ti80">#REF!</definedName>
    <definedName name="l3tisf50">#REF!</definedName>
    <definedName name="l3tisf60">#REF!</definedName>
    <definedName name="LABO">#REF!</definedName>
    <definedName name="LandCut">#REF!</definedName>
    <definedName name="Lantai_Kerja">#REF!</definedName>
    <definedName name="LANTAI_P3">#REF!</definedName>
    <definedName name="lantaikerja">#REF!</definedName>
    <definedName name="Lba">'[14]QTO-11P'!$K$107</definedName>
    <definedName name="LC">[28]Cost_BD_Steel!#REF!</definedName>
    <definedName name="LC_GG">#REF!</definedName>
    <definedName name="LE">#REF!</definedName>
    <definedName name="lean">#REF!</definedName>
    <definedName name="leb">#REF!</definedName>
    <definedName name="LEM">#REF!</definedName>
    <definedName name="lfwk">[11]Bldg!#REF!</definedName>
    <definedName name="lgld100">#REF!</definedName>
    <definedName name="lgld70">#REF!</definedName>
    <definedName name="lgld80">#REF!</definedName>
    <definedName name="lgti50">#REF!</definedName>
    <definedName name="lgti60">#REF!</definedName>
    <definedName name="lgti70">#REF!</definedName>
    <definedName name="lgtisf50">#REF!</definedName>
    <definedName name="lgtisf60">#REF!</definedName>
    <definedName name="LILY3">#REF!</definedName>
    <definedName name="lintel">[11]Bldg!#REF!</definedName>
    <definedName name="lisplaf">#REF!</definedName>
    <definedName name="lisplk">#REF!</definedName>
    <definedName name="Lmk">#REF!</definedName>
    <definedName name="LOAD">#REF!</definedName>
    <definedName name="LOBBY">#REF!</definedName>
    <definedName name="lreo">[11]Bldg!#REF!</definedName>
    <definedName name="lsand">[11]Bldg!#REF!</definedName>
    <definedName name="lt2020001">#REF!</definedName>
    <definedName name="lt3030001">#REF!</definedName>
    <definedName name="lt4040001">#REF!</definedName>
    <definedName name="ltkerja">#REF!</definedName>
    <definedName name="Luas_Bangunan">#REF!</definedName>
    <definedName name="lvrc">[11]Bldg!#REF!</definedName>
    <definedName name="Lww">'[14]QTO-11P'!$K$143</definedName>
    <definedName name="m">#REF!</definedName>
    <definedName name="m_6">'[32]Analisa Harga'!$H$198</definedName>
    <definedName name="M_UP_Bhn">#REF!</definedName>
    <definedName name="M_UP_Uph">#REF!</definedName>
    <definedName name="m102bnnc">'[4]lam-moi'!#REF!</definedName>
    <definedName name="m102bnvl">'[4]lam-moi'!#REF!</definedName>
    <definedName name="m10aamtc">'[4]t-h HA THE'!#REF!</definedName>
    <definedName name="m10aanc">'[4]lam-moi'!#REF!</definedName>
    <definedName name="m10aavl">'[4]lam-moi'!#REF!</definedName>
    <definedName name="m10anc">'[4]lam-moi'!#REF!</definedName>
    <definedName name="m10avl">'[4]lam-moi'!#REF!</definedName>
    <definedName name="m10banc">'[4]lam-moi'!#REF!</definedName>
    <definedName name="m10bavl">'[4]lam-moi'!#REF!</definedName>
    <definedName name="m122bnnc">'[4]lam-moi'!#REF!</definedName>
    <definedName name="m122bnvl">'[4]lam-moi'!#REF!</definedName>
    <definedName name="m12aanc">'[4]lam-moi'!#REF!</definedName>
    <definedName name="m12aavl">'[4]lam-moi'!#REF!</definedName>
    <definedName name="m12anc">'[4]lam-moi'!#REF!</definedName>
    <definedName name="m12avl">'[4]lam-moi'!#REF!</definedName>
    <definedName name="M12ba3p">#REF!</definedName>
    <definedName name="m12banc">'[4]lam-moi'!#REF!</definedName>
    <definedName name="m12bavl">'[4]lam-moi'!#REF!</definedName>
    <definedName name="M12bb1p">#REF!</definedName>
    <definedName name="m12bbnc">'[4]lam-moi'!#REF!</definedName>
    <definedName name="m12bbvl">'[4]lam-moi'!#REF!</definedName>
    <definedName name="M12bnnc">'[4]#REF'!#REF!</definedName>
    <definedName name="M12bnvl">'[4]#REF'!#REF!</definedName>
    <definedName name="M12cbnc">#REF!</definedName>
    <definedName name="M12cbvl">#REF!</definedName>
    <definedName name="m142bnnc">'[4]lam-moi'!#REF!</definedName>
    <definedName name="m142bnvl">'[4]lam-moi'!#REF!</definedName>
    <definedName name="M14bb1p">#REF!</definedName>
    <definedName name="m14bbnc">'[4]lam-moi'!#REF!</definedName>
    <definedName name="M14bbvc">'[4]CHITIET VL-NC-TT -1p'!#REF!</definedName>
    <definedName name="m14bbvl">'[4]lam-moi'!#REF!</definedName>
    <definedName name="M8a">'[4]THPDMoi  (2)'!#REF!</definedName>
    <definedName name="M8aa">'[4]THPDMoi  (2)'!#REF!</definedName>
    <definedName name="m8aanc">#REF!</definedName>
    <definedName name="m8aavl">#REF!</definedName>
    <definedName name="m8amtc">'[4]t-h HA THE'!#REF!</definedName>
    <definedName name="m8anc">'[4]lam-moi'!#REF!</definedName>
    <definedName name="m8avl">'[4]lam-moi'!#REF!</definedName>
    <definedName name="Ma3pnc">#REF!</definedName>
    <definedName name="Ma3pvl">#REF!</definedName>
    <definedName name="Maa3pnc">#REF!</definedName>
    <definedName name="Maa3pvl">#REF!</definedName>
    <definedName name="magne">#REF!</definedName>
    <definedName name="MAIN_MENU">#REF!</definedName>
    <definedName name="MANDOR">'[29]Daftar Upah'!$D$34</definedName>
    <definedName name="manhole">#REF!</definedName>
    <definedName name="mark_up">#REF!</definedName>
    <definedName name="MARKUP">#REF!</definedName>
    <definedName name="MARMERCTT">#REF!</definedName>
    <definedName name="MARMERDDG">#REF!</definedName>
    <definedName name="MARMERTLAG">#REF!</definedName>
    <definedName name="MARMERUJUNG">#REF!</definedName>
    <definedName name="mat">#REF!</definedName>
    <definedName name="MATERIAL_BANTU__BESI_SIKU">'[27]DAFTAR HARGA'!#REF!</definedName>
    <definedName name="Mba1p">#REF!</definedName>
    <definedName name="Mba3p">#REF!</definedName>
    <definedName name="Mbb3p">#REF!</definedName>
    <definedName name="Mbn1p">#REF!</definedName>
    <definedName name="mbnc">'[4]lam-moi'!#REF!</definedName>
    <definedName name="mbvl">'[4]lam-moi'!#REF!</definedName>
    <definedName name="MCBMASTER">#REF!</definedName>
    <definedName name="ME">#REF!</definedName>
    <definedName name="MEDIUM_AGGREGATE">'[27]DAFTAR HARGA'!#REF!</definedName>
    <definedName name="MEJAWASH">#REF!</definedName>
    <definedName name="mfwk">[11]Bldg!#REF!</definedName>
    <definedName name="MIBE">[12]Material!#REF!</definedName>
    <definedName name="millarsitek">#REF!</definedName>
    <definedName name="millbaja">#REF!</definedName>
    <definedName name="millsipil">#REF!</definedName>
    <definedName name="Minybek">#REF!</definedName>
    <definedName name="MISC">#REF!</definedName>
    <definedName name="Mixer">#REF!</definedName>
    <definedName name="mm">#REF!</definedName>
    <definedName name="mmm">[4]giathanh1!#REF!</definedName>
    <definedName name="mobALPCG">#REF!</definedName>
    <definedName name="mp1x25">'[4]dongia (2)'!#REF!</definedName>
    <definedName name="mprel">#REF!</definedName>
    <definedName name="MReo">[11]Bldg!#REF!</definedName>
    <definedName name="msand">[11]Bldg!#REF!</definedName>
    <definedName name="msub">#REF!</definedName>
    <definedName name="MTC1P">'[4]TONG HOP VL-NC TT'!#REF!</definedName>
    <definedName name="MTC3P">'[4]TONG HOP VL-NC TT'!#REF!</definedName>
    <definedName name="MTCHC">[4]TNHCHINH!$K$38</definedName>
    <definedName name="MTCMB">'[4]#REF'!#REF!</definedName>
    <definedName name="MTMAC12">#REF!</definedName>
    <definedName name="mtr">'[4]TH XL'!#REF!</definedName>
    <definedName name="mtram">#REF!</definedName>
    <definedName name="MU">#REF!</definedName>
    <definedName name="mustr">'[66]D2.2'!#REF!</definedName>
    <definedName name="mvrcg20">[11]Bldg!#REF!</definedName>
    <definedName name="mvrcg25">[11]Bldg!#REF!</definedName>
    <definedName name="n">#REF!</definedName>
    <definedName name="N1IN">'[4]TONGKE3p '!$U$295</definedName>
    <definedName name="n1pig">#REF!</definedName>
    <definedName name="n1pignc">'[4]lam-moi'!#REF!</definedName>
    <definedName name="n1pigvl">'[4]lam-moi'!#REF!</definedName>
    <definedName name="n1pind">#REF!</definedName>
    <definedName name="n1pindnc">'[4]lam-moi'!#REF!</definedName>
    <definedName name="n1pindvl">'[4]lam-moi'!#REF!</definedName>
    <definedName name="n1ping">#REF!</definedName>
    <definedName name="n1pingnc">'[4]lam-moi'!#REF!</definedName>
    <definedName name="n1pingvl">'[4]lam-moi'!#REF!</definedName>
    <definedName name="n1pint">#REF!</definedName>
    <definedName name="n1pintnc">'[4]lam-moi'!#REF!</definedName>
    <definedName name="n1pintvl">'[4]lam-moi'!#REF!</definedName>
    <definedName name="n24nc">'[4]lam-moi'!#REF!</definedName>
    <definedName name="n24vl">'[4]lam-moi'!#REF!</definedName>
    <definedName name="n2mignc">'[4]lam-moi'!#REF!</definedName>
    <definedName name="n2migvl">'[4]lam-moi'!#REF!</definedName>
    <definedName name="n2min1nc">'[4]lam-moi'!#REF!</definedName>
    <definedName name="n2min1vl">'[4]lam-moi'!#REF!</definedName>
    <definedName name="NA">#REF!</definedName>
    <definedName name="nc1nc">'[4]lam-moi'!#REF!</definedName>
    <definedName name="nc1p">#REF!</definedName>
    <definedName name="nc1vl">'[4]lam-moi'!#REF!</definedName>
    <definedName name="nc24nc">'[4]lam-moi'!#REF!</definedName>
    <definedName name="nc24vl">'[4]lam-moi'!#REF!</definedName>
    <definedName name="nc3p">#REF!</definedName>
    <definedName name="NCBD100">#REF!</definedName>
    <definedName name="NCBD200">#REF!</definedName>
    <definedName name="NCBD250">#REF!</definedName>
    <definedName name="ncdd">'[4]TH XL'!#REF!</definedName>
    <definedName name="NCDD2">'[4]TH XL'!#REF!</definedName>
    <definedName name="NCHC">[4]TNHCHINH!$J$38</definedName>
    <definedName name="nctr">'[4]TH XL'!#REF!</definedName>
    <definedName name="nctram">#REF!</definedName>
    <definedName name="NCVC100">#REF!</definedName>
    <definedName name="NCVC200">#REF!</definedName>
    <definedName name="NCVC250">#REF!</definedName>
    <definedName name="NCVC3P">#REF!</definedName>
    <definedName name="NERO30">#REF!</definedName>
    <definedName name="NERO40">#REF!</definedName>
    <definedName name="new" localSheetId="14">FST:(FSB)</definedName>
    <definedName name="new" localSheetId="42">FST:(FSB)</definedName>
    <definedName name="new">FST:(FSB)</definedName>
    <definedName name="new1dashjasdgfsdngjkdsg" localSheetId="14">FST:(FSB)</definedName>
    <definedName name="new1dashjasdgfsdngjkdsg" localSheetId="42">FST:(FSB)</definedName>
    <definedName name="new1dashjasdgfsdngjkdsg">FST:(FSB)</definedName>
    <definedName name="new5asdigjdfklgjflgj">#N/A</definedName>
    <definedName name="newb" localSheetId="14">FST:(FSB)</definedName>
    <definedName name="newb" localSheetId="42">FST:(FSB)</definedName>
    <definedName name="newb">FST:(FSB)</definedName>
    <definedName name="newb1" localSheetId="14">FST:(FSB)</definedName>
    <definedName name="newb1" localSheetId="42">FST:(FSB)</definedName>
    <definedName name="newb1">FST:(FSB)</definedName>
    <definedName name="newbgjhfsdjkfhsdkfh" localSheetId="14">FST:(FSB)</definedName>
    <definedName name="newbgjhfsdjkfhsdkfh" localSheetId="42">FST:(FSB)</definedName>
    <definedName name="newbgjhfsdjkfhsdkfh">FST:(FSB)</definedName>
    <definedName name="nhn" localSheetId="42">#REF!</definedName>
    <definedName name="nhn">#REF!</definedName>
    <definedName name="nhnnc" localSheetId="42">'[4]lam-moi'!#REF!</definedName>
    <definedName name="nhnnc">'[4]lam-moi'!#REF!</definedName>
    <definedName name="nhnvl" localSheetId="42">'[4]lam-moi'!#REF!</definedName>
    <definedName name="nhnvl">'[4]lam-moi'!#REF!</definedName>
    <definedName name="nig" localSheetId="42">#REF!</definedName>
    <definedName name="nig">#REF!</definedName>
    <definedName name="NIG13p">'[4]TONGKE3p '!$T$295</definedName>
    <definedName name="nig1p">#REF!</definedName>
    <definedName name="nig3p">#REF!</definedName>
    <definedName name="nightnc">[4]gtrinh!#REF!</definedName>
    <definedName name="nightvl">[4]gtrinh!#REF!</definedName>
    <definedName name="nignc1p">#REF!</definedName>
    <definedName name="nignc3p">'[4]CHITIET VL-NC'!$G$107</definedName>
    <definedName name="nigvl1p">#REF!</definedName>
    <definedName name="nigvl3p">'[4]CHITIET VL-NC'!$G$99</definedName>
    <definedName name="nin">#REF!</definedName>
    <definedName name="nin14nc3p">#REF!</definedName>
    <definedName name="nin14vl3p">#REF!</definedName>
    <definedName name="nin1903p">#REF!</definedName>
    <definedName name="nin190nc">'[4]lam-moi'!#REF!</definedName>
    <definedName name="nin190nc3p">#REF!</definedName>
    <definedName name="nin190vl">'[4]lam-moi'!#REF!</definedName>
    <definedName name="nin190vl3p">#REF!</definedName>
    <definedName name="nin1pnc">'[4]lam-moi'!#REF!</definedName>
    <definedName name="nin1pvl">'[4]lam-moi'!#REF!</definedName>
    <definedName name="nin2903p">#REF!</definedName>
    <definedName name="nin290nc3p">#REF!</definedName>
    <definedName name="nin290vl3p">#REF!</definedName>
    <definedName name="nin3p">#REF!</definedName>
    <definedName name="nind">#REF!</definedName>
    <definedName name="nind1p">#REF!</definedName>
    <definedName name="nind3p">#REF!</definedName>
    <definedName name="nindnc">'[4]lam-moi'!#REF!</definedName>
    <definedName name="nindnc1p">#REF!</definedName>
    <definedName name="nindnc3p">#REF!</definedName>
    <definedName name="nindvl">'[4]lam-moi'!#REF!</definedName>
    <definedName name="nindvl1p">#REF!</definedName>
    <definedName name="nindvl3p">#REF!</definedName>
    <definedName name="ning1p">#REF!</definedName>
    <definedName name="ningnc1p">#REF!</definedName>
    <definedName name="ningvl1p">#REF!</definedName>
    <definedName name="ninnc">'[4]lam-moi'!#REF!</definedName>
    <definedName name="ninnc3p">#REF!</definedName>
    <definedName name="nint1p">#REF!</definedName>
    <definedName name="nintnc1p">#REF!</definedName>
    <definedName name="nintvl1p">#REF!</definedName>
    <definedName name="ninvl">'[4]lam-moi'!#REF!</definedName>
    <definedName name="ninvl3p">#REF!</definedName>
    <definedName name="nl">#REF!</definedName>
    <definedName name="NL12nc">'[4]#REF'!#REF!</definedName>
    <definedName name="NL12vl">'[4]#REF'!#REF!</definedName>
    <definedName name="nl1p">#REF!</definedName>
    <definedName name="nl3p">#REF!</definedName>
    <definedName name="nlht">'[4]THPDMoi  (2)'!#REF!</definedName>
    <definedName name="nlmtc">'[4]t-h HA THE'!#REF!</definedName>
    <definedName name="nlnc">'[4]lam-moi'!#REF!</definedName>
    <definedName name="nlnc3p">#REF!</definedName>
    <definedName name="nlnc3pha">#REF!</definedName>
    <definedName name="NLTK1p">#REF!</definedName>
    <definedName name="nlvl">'[4]lam-moi'!#REF!</definedName>
    <definedName name="nlvl1">[4]chitiet!$G$302</definedName>
    <definedName name="nlvl3p">#REF!</definedName>
    <definedName name="nn">#REF!</definedName>
    <definedName name="nn1p">#REF!</definedName>
    <definedName name="nn3p">#REF!</definedName>
    <definedName name="nnnc">'[4]lam-moi'!#REF!</definedName>
    <definedName name="nnnc3p">#REF!</definedName>
    <definedName name="nnvl">'[4]lam-moi'!#REF!</definedName>
    <definedName name="nnvl3p">#REF!</definedName>
    <definedName name="NO">#REF!</definedName>
    <definedName name="NOIFS">#REF!</definedName>
    <definedName name="NOIP">#REF!</definedName>
    <definedName name="NOIT">#REF!</definedName>
    <definedName name="NOK">#REF!</definedName>
    <definedName name="NOKCSK">#REF!</definedName>
    <definedName name="NOKKANMURI">#REF!</definedName>
    <definedName name="NOMFS">#REF!</definedName>
    <definedName name="NOMP">#REF!</definedName>
    <definedName name="NOMT">#REF!</definedName>
    <definedName name="NOUM">[12]Material!#REF!</definedName>
    <definedName name="nuoc">[45]gvl!$N$38</definedName>
    <definedName name="nx">'[4]THPDMoi  (2)'!#REF!</definedName>
    <definedName name="nxmtc">'[4]t-h HA THE'!#REF!</definedName>
    <definedName name="NYA1C">#REF!</definedName>
    <definedName name="nyfgby3x6lt">#REF!</definedName>
    <definedName name="nyfgby4x6lt">#REF!</definedName>
    <definedName name="nyfgby4x95">#REF!</definedName>
    <definedName name="nyfgby5x6lt">#REF!</definedName>
    <definedName name="NYM2C">#REF!</definedName>
    <definedName name="nym3x2.5flt">#REF!</definedName>
    <definedName name="nyy11x1x500">#REF!</definedName>
    <definedName name="nyy14x1x500">#REF!</definedName>
    <definedName name="nyy16x1x500">#REF!</definedName>
    <definedName name="nyy18x1x500">#REF!</definedName>
    <definedName name="nyy21x1x500">#REF!</definedName>
    <definedName name="nyy25x1x500">#REF!</definedName>
    <definedName name="nyy2x4x16">#REF!</definedName>
    <definedName name="nyy3x6">#REF!</definedName>
    <definedName name="nyy4x10">#REF!</definedName>
    <definedName name="nyy4x120">#REF!</definedName>
    <definedName name="nyy4x16">#REF!</definedName>
    <definedName name="nyy4x185">#REF!</definedName>
    <definedName name="nyy4x1x300">#REF!</definedName>
    <definedName name="nyy4x1x400">#REF!</definedName>
    <definedName name="nyy4x1x500">#REF!</definedName>
    <definedName name="nyy4x25">#REF!</definedName>
    <definedName name="nyy4x50">#REF!</definedName>
    <definedName name="nyy4x70">#REF!</definedName>
    <definedName name="nyy4x95">#REF!</definedName>
    <definedName name="nyy5x4">#REF!</definedName>
    <definedName name="nyy5x6">#REF!</definedName>
    <definedName name="nyy7x1x300">#REF!</definedName>
    <definedName name="nyy7x1x500">#REF!</definedName>
    <definedName name="OffForm">#REF!</definedName>
    <definedName name="oksand">#REF!</definedName>
    <definedName name="OPERATING_EQUIPMENT">#REF!</definedName>
    <definedName name="OPERATOR_ALAT_BESAR">#REF!</definedName>
    <definedName name="OS">[28]Cost_BD_Steel!#REF!</definedName>
    <definedName name="osc">'[4]THPDMoi  (2)'!#REF!</definedName>
    <definedName name="ot">#REF!</definedName>
    <definedName name="OUT">#REF!</definedName>
    <definedName name="OWARI">#REF!</definedName>
    <definedName name="owell">#REF!</definedName>
    <definedName name="P">#REF!</definedName>
    <definedName name="p_d">#REF!</definedName>
    <definedName name="p_d1">#REF!</definedName>
    <definedName name="p1ti50">#REF!</definedName>
    <definedName name="p1ti60">#REF!</definedName>
    <definedName name="p1ti70">#REF!</definedName>
    <definedName name="p1ti80">#REF!</definedName>
    <definedName name="p1tif50">#REF!</definedName>
    <definedName name="p2ti50">#REF!</definedName>
    <definedName name="p2ti60">#REF!</definedName>
    <definedName name="p2ti70">#REF!</definedName>
    <definedName name="p2ti80">#REF!</definedName>
    <definedName name="p2tif50">#REF!</definedName>
    <definedName name="p3al50">#REF!</definedName>
    <definedName name="p3al60">#REF!</definedName>
    <definedName name="p3al70">#REF!</definedName>
    <definedName name="p3al80">#REF!</definedName>
    <definedName name="p3ati50">#REF!</definedName>
    <definedName name="p3ati60">#REF!</definedName>
    <definedName name="p3atif50">#REF!</definedName>
    <definedName name="p3atifr50">#REF!</definedName>
    <definedName name="p3atifr60">#REF!</definedName>
    <definedName name="p3ti50">#REF!</definedName>
    <definedName name="p3ti60">#REF!</definedName>
    <definedName name="p3ti70">#REF!</definedName>
    <definedName name="p3ti80">#REF!</definedName>
    <definedName name="p3tif50">#REF!</definedName>
    <definedName name="pabf100">#REF!</definedName>
    <definedName name="pabf125">#REF!</definedName>
    <definedName name="pabf150">#REF!</definedName>
    <definedName name="pabf4">#REF!</definedName>
    <definedName name="pabf6">#REF!</definedName>
    <definedName name="pabf65">#REF!</definedName>
    <definedName name="pabf80">#REF!</definedName>
    <definedName name="PABL_1">[12]Material!#REF!</definedName>
    <definedName name="PABL_2">[12]Material!#REF!</definedName>
    <definedName name="PABL_3">[21]Material!#REF!</definedName>
    <definedName name="PACK">#REF!</definedName>
    <definedName name="pagar">#REF!</definedName>
    <definedName name="PAGARBESI">#REF!</definedName>
    <definedName name="PAIN">#REF!</definedName>
    <definedName name="PAINT_A">#REF!</definedName>
    <definedName name="PAINT_B">'[67]Paint Type B'!$M$65</definedName>
    <definedName name="PAKET">#REF!</definedName>
    <definedName name="pakf100">#REF!</definedName>
    <definedName name="pakf150">#REF!</definedName>
    <definedName name="pakf80">#REF!</definedName>
    <definedName name="PAKU">#REF!</definedName>
    <definedName name="Paku_5_7__10__12">'[29]Daftar Harga'!$G$209</definedName>
    <definedName name="pakubiasa">#REF!</definedName>
    <definedName name="PAKUGYPSUM">#REF!</definedName>
    <definedName name="PALIMANAN30">#REF!</definedName>
    <definedName name="PALIMANAN40">#REF!</definedName>
    <definedName name="Panel">[68]Elektrikal!#REF!</definedName>
    <definedName name="PANELJATI">#REF!</definedName>
    <definedName name="PANELKAMPER">#REF!</definedName>
    <definedName name="PANELTEAKWOOD">#REF!</definedName>
    <definedName name="PANTRY">#REF!</definedName>
    <definedName name="PARTISI">#REF!</definedName>
    <definedName name="partisigypsum">#REF!</definedName>
    <definedName name="pas.batako1.5">'[32]Analisa Harga'!$H$300</definedName>
    <definedName name="pas.batubata1.3">'[32]Analisa Harga'!$H$285</definedName>
    <definedName name="pas.batukali">'[32]Analisa Harga'!$H$112</definedName>
    <definedName name="pas.batukosong">'[32]Analisa Harga'!$H$97</definedName>
    <definedName name="Pas_Bata">#REF!</definedName>
    <definedName name="Pas_Bata_KP">[34]ANALISA!#REF!</definedName>
    <definedName name="Pas_Hebel">#REF!</definedName>
    <definedName name="Pasir_Urug">#REF!</definedName>
    <definedName name="Pasir_urug___trass">'[30]Daftar Harga'!$G$11</definedName>
    <definedName name="PASIRBANGKA">#REF!</definedName>
    <definedName name="PASIRHITAM">#REF!</definedName>
    <definedName name="paving">#REF!</definedName>
    <definedName name="PB">#REF!</definedName>
    <definedName name="pbsf100">#REF!</definedName>
    <definedName name="pbsf150">#REF!</definedName>
    <definedName name="pbsf65">#REF!</definedName>
    <definedName name="pbsf80">#REF!</definedName>
    <definedName name="PEK">#REF!</definedName>
    <definedName name="PEKERJA">'[29]Daftar Upah'!$D$14</definedName>
    <definedName name="PEKERJA_SETENGAH_TERAMPIL">#REF!</definedName>
    <definedName name="PEKERJA_TERAMPIL">#REF!</definedName>
    <definedName name="PEKERJAAN__A_C">#REF!</definedName>
    <definedName name="PEKERJAAN_CAT">#REF!</definedName>
    <definedName name="PEKERJAAN_CCTV__SOUND_SYSTEM____MATV">#REF!</definedName>
    <definedName name="PEKERJAAN_DINDING_DAN_FINISHING_DINDING">#REF!</definedName>
    <definedName name="PEKERJAAN_FINISHING_LANTAI">#REF!</definedName>
    <definedName name="PEKERJAAN_GONDOLA">#REF!</definedName>
    <definedName name="PEKERJAAN_LIFT_ex_KOREA">#REF!</definedName>
    <definedName name="PEKERJAAN_LISTRIK___GENSET">#REF!</definedName>
    <definedName name="PEKERJAAN_LUAR">#REF!</definedName>
    <definedName name="PEKERJAAN_PLAFOND">#REF!</definedName>
    <definedName name="PEKERJAAN_PLUMBING___SANITARY">#REF!</definedName>
    <definedName name="PEKERJAAN_PONDASI">#REF!</definedName>
    <definedName name="PEKERJAAN_RAILING_DAN_LAIN___LAIN">#REF!</definedName>
    <definedName name="PEKERJAAN_SPRINKLER___FIRE_FIGHTING">#REF!</definedName>
    <definedName name="PEKERJAAN_STRUKTUR_ATAS_DAN_ATAP">#REF!</definedName>
    <definedName name="PEKERJAAN_SUB_STRUKTUR">#REF!</definedName>
    <definedName name="PEKERJAAN_TANAH">#REF!</definedName>
    <definedName name="PEKERJAAN_TELEPON">#REF!</definedName>
    <definedName name="Pemadatan_Tanah">#REF!</definedName>
    <definedName name="PEMBANTU_OPERATOR___MEKANIK">#REF!</definedName>
    <definedName name="Pengecoran">#REF!</definedName>
    <definedName name="PENJAGA_MALAM">#REF!</definedName>
    <definedName name="PF_S">#REF!</definedName>
    <definedName name="pgc">#REF!</definedName>
    <definedName name="PIL">#REF!</definedName>
    <definedName name="pintuPVC">#REF!</definedName>
    <definedName name="PIP">#REF!</definedName>
    <definedName name="pipa">#REF!</definedName>
    <definedName name="PIPAGALV">#REF!</definedName>
    <definedName name="PIPALIS">#REF!</definedName>
    <definedName name="pipamed">#REF!</definedName>
    <definedName name="PIPAPVC">#REF!</definedName>
    <definedName name="pipasch40">#REF!</definedName>
    <definedName name="PIPE">#REF!</definedName>
    <definedName name="PL">[28]Cost_BD_Steel!#REF!</definedName>
    <definedName name="PLAFGYPSUM">#REF!</definedName>
    <definedName name="plafgyptile">#REF!</definedName>
    <definedName name="PLAMUR">#REF!</definedName>
    <definedName name="PLASCOR">#REF!</definedName>
    <definedName name="Plaster_Aci">#REF!</definedName>
    <definedName name="plastik">#REF!</definedName>
    <definedName name="plat">#REF!</definedName>
    <definedName name="plester">#REF!</definedName>
    <definedName name="Plester_Aci">[34]ANALISA!#REF!</definedName>
    <definedName name="Plester_Aci_MU">#REF!</definedName>
    <definedName name="Plester_Aci_Trasram">#REF!</definedName>
    <definedName name="plint">#REF!</definedName>
    <definedName name="Plint_Keramik">#REF!</definedName>
    <definedName name="PLkapal">#REF!</definedName>
    <definedName name="PLP">#REF!</definedName>
    <definedName name="plum">#REF!</definedName>
    <definedName name="plywood12">#REF!</definedName>
    <definedName name="pnepiezo">#REF!</definedName>
    <definedName name="POLOSJATI">#REF!</definedName>
    <definedName name="POLOSKAMPER">#REF!</definedName>
    <definedName name="poly">#REF!</definedName>
    <definedName name="POMPATGN">#REF!</definedName>
    <definedName name="Pondasi_Batu_Kali">#REF!</definedName>
    <definedName name="pondTG">#REF!</definedName>
    <definedName name="Portland_Cement__tiga_roda___50kg">'[29]Daftar Harga'!$G$30</definedName>
    <definedName name="potTP">#REF!</definedName>
    <definedName name="pph">#REF!</definedName>
    <definedName name="ppn">#REF!</definedName>
    <definedName name="PPNBORNEO">#REF!</definedName>
    <definedName name="PPNKAMPER">#REF!</definedName>
    <definedName name="PR_1">#REF!</definedName>
    <definedName name="PR_10">#REF!</definedName>
    <definedName name="PR_11">'[69]A-11 Steel Str'!#REF!</definedName>
    <definedName name="PR_2">#REF!</definedName>
    <definedName name="PR_3">#REF!</definedName>
    <definedName name="PR_4_5">#REF!</definedName>
    <definedName name="PR_6">#REF!</definedName>
    <definedName name="PR_7">#REF!</definedName>
    <definedName name="PR_8_9">#REF!</definedName>
    <definedName name="pr0000">[18]DATA!$F$255</definedName>
    <definedName name="praktis001">#REF!</definedName>
    <definedName name="PRIM">#REF!</definedName>
    <definedName name="PRIME_COAT">'[27]DAFTAR HARGA'!#REF!</definedName>
    <definedName name="primM2">#REF!</definedName>
    <definedName name="print">#REF!</definedName>
    <definedName name="_xlnm.Print_Area" localSheetId="2">'01SumBQRes200'!$B$30:$H$32</definedName>
    <definedName name="_xlnm.Print_Area" localSheetId="4">'02SumBQRes300'!$B$30:$H$32</definedName>
    <definedName name="_xlnm.Print_Area" localSheetId="6">'03SumBQResto400'!$B$30:$H$32</definedName>
    <definedName name="_xlnm.Print_Area" localSheetId="8">'04SumResto1000'!$B$31:$H$33</definedName>
    <definedName name="_xlnm.Print_Area" localSheetId="10">'05SumSaung'!$B$26:$H$28</definedName>
    <definedName name="_xlnm.Print_Area" localSheetId="12">'06SumCafe200'!$B$32:$H$32</definedName>
    <definedName name="_xlnm.Print_Area" localSheetId="14">'07SumMasjid'!$B$32:$H$32</definedName>
    <definedName name="_xlnm.Print_Area" localSheetId="16">'08SumKios'!$B$44:$H$46</definedName>
    <definedName name="_xlnm.Print_Area" localSheetId="18">'09SumPustInf'!$B$31:$H$33</definedName>
    <definedName name="_xlnm.Print_Area" localSheetId="20">'10SumToilet30'!$B$30:$H$32</definedName>
    <definedName name="_xlnm.Print_Area" localSheetId="22">'11SumToilet34'!$B$30:$H$32</definedName>
    <definedName name="_xlnm.Print_Area" localSheetId="24">'12SumKomodo'!$B$30:$H$32</definedName>
    <definedName name="_xlnm.Print_Area" localSheetId="26">'13SumPOSPOL'!$B$31:$H$33</definedName>
    <definedName name="_xlnm.Print_Area" localSheetId="28">'14SumPustKeama'!$B$30:$H$32</definedName>
    <definedName name="_xlnm.Print_Area" localSheetId="30">'15SUMPosjaga5x5'!$B$42:$H$44</definedName>
    <definedName name="_xlnm.Print_Area" localSheetId="32">'16SumTitikPandang'!$B$26:$H$28</definedName>
    <definedName name="_xlnm.Print_Area" localSheetId="34">'17SumJembPdg'!$B$28:$H$30</definedName>
    <definedName name="_xlnm.Print_Area" localSheetId="36">'18SumkLINIK'!$B$31:$H$33</definedName>
    <definedName name="_xlnm.Print_Area" localSheetId="38">'19SumBQDamkar'!$B$30:$H$32</definedName>
    <definedName name="_xlnm.Print_Area" localSheetId="40">'20SumRTungguBis'!$B$26:$H$28</definedName>
    <definedName name="_xlnm.Print_Area" localSheetId="42">'21 Ipal'!$B$31:$H$33</definedName>
    <definedName name="_xlnm.Print_Area" localSheetId="43">'22SUMTPS'!$B$44:$H$46</definedName>
    <definedName name="_xlnm.Print_Area" localSheetId="45">'23SUMUnitAB'!$B$31:$H$33</definedName>
    <definedName name="_xlnm.Print_Area" localSheetId="47">'24SUMGardupln'!$B$36:$H$38</definedName>
    <definedName name="_xlnm.Print_Area" localSheetId="51">AnCafe200!$B$4:E20</definedName>
    <definedName name="_xlnm.Print_Area" localSheetId="49">AnResto200!$B$4:E20</definedName>
    <definedName name="_xlnm.Print_Area" localSheetId="50">AnResto300!$B$4:$E$20</definedName>
    <definedName name="_xlnm.Print_Area" localSheetId="57">'ARS 110'!$B$4:E20</definedName>
    <definedName name="_xlnm.Print_Area" localSheetId="3">'BQresto 200'!$A$1:$J$125</definedName>
    <definedName name="_xlnm.Print_Area" localSheetId="1">'SUMBQ BLOK A'!$B$2:$H$50</definedName>
    <definedName name="_xlnm.Print_Area">#REF!</definedName>
    <definedName name="Print_Area_MI" localSheetId="42">'[64]hrg-sat.pek'!#REF!</definedName>
    <definedName name="Print_Area_MI">'[64]hrg-sat.pek'!#REF!</definedName>
    <definedName name="_xlnm.Print_Titles" localSheetId="2">'01SumBQRes200'!#REF!</definedName>
    <definedName name="_xlnm.Print_Titles" localSheetId="4">'02SumBQRes300'!#REF!</definedName>
    <definedName name="_xlnm.Print_Titles" localSheetId="6">'03SumBQResto400'!#REF!</definedName>
    <definedName name="_xlnm.Print_Titles" localSheetId="8">'04SumResto1000'!#REF!</definedName>
    <definedName name="_xlnm.Print_Titles" localSheetId="10">'05SumSaung'!#REF!</definedName>
    <definedName name="_xlnm.Print_Titles" localSheetId="12">'06SumCafe200'!#REF!</definedName>
    <definedName name="_xlnm.Print_Titles" localSheetId="14">'07SumMasjid'!#REF!</definedName>
    <definedName name="_xlnm.Print_Titles" localSheetId="16">'08SumKios'!#REF!</definedName>
    <definedName name="_xlnm.Print_Titles" localSheetId="18">'09SumPustInf'!#REF!</definedName>
    <definedName name="_xlnm.Print_Titles" localSheetId="20">'10SumToilet30'!#REF!</definedName>
    <definedName name="_xlnm.Print_Titles" localSheetId="22">'11SumToilet34'!#REF!</definedName>
    <definedName name="_xlnm.Print_Titles" localSheetId="24">'12SumKomodo'!#REF!</definedName>
    <definedName name="_xlnm.Print_Titles" localSheetId="26">'13SumPOSPOL'!#REF!</definedName>
    <definedName name="_xlnm.Print_Titles" localSheetId="28">'14SumPustKeama'!#REF!</definedName>
    <definedName name="_xlnm.Print_Titles" localSheetId="30">'15SUMPosjaga5x5'!#REF!</definedName>
    <definedName name="_xlnm.Print_Titles" localSheetId="32">'16SumTitikPandang'!#REF!</definedName>
    <definedName name="_xlnm.Print_Titles" localSheetId="34">'17SumJembPdg'!#REF!</definedName>
    <definedName name="_xlnm.Print_Titles" localSheetId="36">'18SumkLINIK'!#REF!</definedName>
    <definedName name="_xlnm.Print_Titles" localSheetId="38">'19SumBQDamkar'!#REF!</definedName>
    <definedName name="_xlnm.Print_Titles" localSheetId="40">'20SumRTungguBis'!#REF!</definedName>
    <definedName name="_xlnm.Print_Titles" localSheetId="42">'21 Ipal'!#REF!</definedName>
    <definedName name="_xlnm.Print_Titles" localSheetId="43">'22SUMTPS'!#REF!</definedName>
    <definedName name="_xlnm.Print_Titles" localSheetId="45">'23SUMUnitAB'!#REF!</definedName>
    <definedName name="_xlnm.Print_Titles" localSheetId="47">'24SUMGardupln'!#REF!</definedName>
    <definedName name="_xlnm.Print_Titles" localSheetId="1">'SUMBQ BLOK A'!$8:$10</definedName>
    <definedName name="_xlnm.Print_Titles">#N/A</definedName>
    <definedName name="PRINT_TITLES_MI" localSheetId="42">#REF!</definedName>
    <definedName name="PRINT_TITLES_MI">#REF!</definedName>
    <definedName name="PRO" localSheetId="42">#REF!</definedName>
    <definedName name="PRO">#REF!</definedName>
    <definedName name="Project">#REF!</definedName>
    <definedName name="ProjectLocation">'[40]Fill this out first...'!$D$12</definedName>
    <definedName name="ProjectNumber">'[40]Fill this out first...'!$D$18</definedName>
    <definedName name="ProjectSubtitle">'[40]Fill this out first...'!$D$11</definedName>
    <definedName name="ProjectTitle">'[40]Fill this out first...'!$D$10</definedName>
    <definedName name="prs">#REF!</definedName>
    <definedName name="psan01">[19]PPC!#REF!</definedName>
    <definedName name="psan02">[19]PPC!#REF!</definedName>
    <definedName name="psan03">[19]PPC!#REF!</definedName>
    <definedName name="psan04">[19]PPC!#REF!</definedName>
    <definedName name="psan05">[19]PPC!#REF!</definedName>
    <definedName name="psan06">[19]PPC!#REF!</definedName>
    <definedName name="psan07">[19]PPC!#REF!</definedName>
    <definedName name="psan08">[19]PPC!#REF!</definedName>
    <definedName name="psan09">[19]PPC!#REF!</definedName>
    <definedName name="psr.beton">#REF!</definedName>
    <definedName name="psr.pasang">#REF!</definedName>
    <definedName name="psr.urug">#REF!</definedName>
    <definedName name="psurug">#REF!</definedName>
    <definedName name="PTNC">'[4]DON GIA'!$G$227</definedName>
    <definedName name="PUMP">#REF!</definedName>
    <definedName name="PUP">#REF!</definedName>
    <definedName name="PVC.5">#REF!</definedName>
    <definedName name="PVC.75">#REF!</definedName>
    <definedName name="PVC1.5">#REF!</definedName>
    <definedName name="pvcf100">[13]SAP!#REF!</definedName>
    <definedName name="pvcf150">[13]SAP!#REF!</definedName>
    <definedName name="pvcf200">[13]SAP!#REF!</definedName>
    <definedName name="pvcf65">[13]SAP!#REF!</definedName>
    <definedName name="pvcf80">[13]SAP!#REF!</definedName>
    <definedName name="Q">[4]giathanh1!#REF!</definedName>
    <definedName name="QC_GG">#REF!</definedName>
    <definedName name="QUIT">'[60]MAIN BQ'!#REF!</definedName>
    <definedName name="RA">#REF!</definedName>
    <definedName name="ra11p">#REF!</definedName>
    <definedName name="ra13p">#REF!</definedName>
    <definedName name="rabat">#REF!</definedName>
    <definedName name="rabatbetonK135">'[32]Analisa Harga'!$H$130</definedName>
    <definedName name="rack1">'[4]THPDMoi  (2)'!#REF!</definedName>
    <definedName name="rack2">'[4]THPDMoi  (2)'!#REF!</definedName>
    <definedName name="rack3">'[4]THPDMoi  (2)'!#REF!</definedName>
    <definedName name="rack4">'[4]THPDMoi  (2)'!#REF!</definedName>
    <definedName name="RAILING">#REF!</definedName>
    <definedName name="railling">#REF!</definedName>
    <definedName name="RAP">#REF!</definedName>
    <definedName name="RATE">#REF!</definedName>
    <definedName name="RAYAP">#REF!</definedName>
    <definedName name="RB">[28]Cost_BD_Steel!#REF!</definedName>
    <definedName name="RB_GG">#REF!</definedName>
    <definedName name="RDU">#REF!</definedName>
    <definedName name="READY_MIX">#REF!</definedName>
    <definedName name="Readymix250">#REF!</definedName>
    <definedName name="Readymix300">#REF!</definedName>
    <definedName name="REAL">#REF!</definedName>
    <definedName name="reb">#REF!</definedName>
    <definedName name="rebar">#REF!</definedName>
    <definedName name="rebar10">[42]INDEX!$D$18</definedName>
    <definedName name="rebar12">[42]INDEX!$D$19</definedName>
    <definedName name="RECAP">#REF!</definedName>
    <definedName name="REI">[10]index!$J$19</definedName>
    <definedName name="reinf001">#REF!</definedName>
    <definedName name="reinf002">#REF!</definedName>
    <definedName name="REKAPITULASI" localSheetId="14">STOP2:STOP2E</definedName>
    <definedName name="REKAPITULASI" localSheetId="42">STOP2:STOP2E</definedName>
    <definedName name="REKAPITULASI">STOP2:STOP2E</definedName>
    <definedName name="rekapitulasi1" localSheetId="14">STOP2:STOP2E</definedName>
    <definedName name="rekapitulasi1" localSheetId="42">STOP2:STOP2E</definedName>
    <definedName name="rekapitulasi1">STOP2:STOP2E</definedName>
    <definedName name="rekapitulasihjfka" localSheetId="14">STOP2:STOP2E</definedName>
    <definedName name="rekapitulasihjfka" localSheetId="42">STOP2:STOP2E</definedName>
    <definedName name="rekapitulasihjfka">STOP2:STOP2E</definedName>
    <definedName name="RENG" localSheetId="42">#REF!</definedName>
    <definedName name="RENG">#REF!</definedName>
    <definedName name="REPLACE" localSheetId="42">#REF!</definedName>
    <definedName name="REPLACE">#REF!</definedName>
    <definedName name="RESID">#REF!</definedName>
    <definedName name="RESULT">#REF!</definedName>
    <definedName name="REV">[43]SUMMARY!$G$4</definedName>
    <definedName name="RFSL">#REF!</definedName>
    <definedName name="Ring_Balok">#REF!</definedName>
    <definedName name="ringbalok001">#REF!</definedName>
    <definedName name="RINSU">#REF!</definedName>
    <definedName name="RLABO">#REF!</definedName>
    <definedName name="RMISC">#REF!</definedName>
    <definedName name="ROLL">#REF!</definedName>
    <definedName name="ROMAN30">#REF!</definedName>
    <definedName name="ROMAN40">#REF!</definedName>
    <definedName name="Roof001">#REF!</definedName>
    <definedName name="roofdrain">#REF!</definedName>
    <definedName name="ROUND">#REF!</definedName>
    <definedName name="ROUNDL">#REF!</definedName>
    <definedName name="ROUNDM">#REF!</definedName>
    <definedName name="RPAIN">#REF!</definedName>
    <definedName name="RSLEE">#REF!</definedName>
    <definedName name="RSUBT">#REF!</definedName>
    <definedName name="RSUM1">#REF!</definedName>
    <definedName name="RSUM2">#REF!</definedName>
    <definedName name="RSUM3">#REF!</definedName>
    <definedName name="RTEST">#REF!</definedName>
    <definedName name="rubblewall">[70]Infra!#REF!</definedName>
    <definedName name="Rucika_Wavin" localSheetId="42">#REF!</definedName>
    <definedName name="Rucika_Wavin">#REF!</definedName>
    <definedName name="rukan_a">[71]TOWN!#REF!</definedName>
    <definedName name="rukan_aa">[71]TOWN!#REF!</definedName>
    <definedName name="rukan_b">[71]TOWN!#REF!</definedName>
    <definedName name="rukan_c">[71]TOWN!#REF!</definedName>
    <definedName name="rukan_cc">[71]TOWN!#REF!</definedName>
    <definedName name="rukan_d">[71]TOWN!#REF!</definedName>
    <definedName name="rukan_dd">[71]TOWN!#REF!</definedName>
    <definedName name="rukan_e">[71]TOWN!#REF!</definedName>
    <definedName name="rukan_ee">[71]TOWN!#REF!</definedName>
    <definedName name="RW11.1" localSheetId="42">#REF!</definedName>
    <definedName name="RW11.1">#REF!</definedName>
    <definedName name="RW11.10" localSheetId="42">#REF!</definedName>
    <definedName name="RW11.10">#REF!</definedName>
    <definedName name="RW11.2" localSheetId="42">#REF!</definedName>
    <definedName name="RW11.2">#REF!</definedName>
    <definedName name="RW11.3">#REF!</definedName>
    <definedName name="RW11.5">#REF!</definedName>
    <definedName name="RW11.6">#REF!</definedName>
    <definedName name="RW11.7">#REF!</definedName>
    <definedName name="RW11.8">#REF!</definedName>
    <definedName name="RW11.9">#REF!</definedName>
    <definedName name="S">#REF!</definedName>
    <definedName name="S.21">#REF!</definedName>
    <definedName name="S.23">#REF!</definedName>
    <definedName name="S.24">#REF!</definedName>
    <definedName name="S.25">#REF!</definedName>
    <definedName name="S.26">#REF!</definedName>
    <definedName name="S.BARU">#REF!</definedName>
    <definedName name="S.LAMA.A">#REF!</definedName>
    <definedName name="S.LAMA.B">#REF!</definedName>
    <definedName name="S.LAMA.C">#REF!</definedName>
    <definedName name="SA.1">#REF!</definedName>
    <definedName name="SA.10">#REF!</definedName>
    <definedName name="SA.11">#REF!</definedName>
    <definedName name="SA.12">#REF!</definedName>
    <definedName name="SA.13">#REF!</definedName>
    <definedName name="SA.14">#REF!</definedName>
    <definedName name="SA.2">#REF!</definedName>
    <definedName name="SA.3">#REF!</definedName>
    <definedName name="SA.4">#REF!</definedName>
    <definedName name="SA.5">#REF!</definedName>
    <definedName name="SA.6">#REF!</definedName>
    <definedName name="SA.7">#REF!</definedName>
    <definedName name="SA.8">#REF!</definedName>
    <definedName name="SA.9">#REF!</definedName>
    <definedName name="SA25.KG">#REF!</definedName>
    <definedName name="sa25M2">#REF!</definedName>
    <definedName name="SABUNTOTO">#REF!</definedName>
    <definedName name="SAKELAR">#REF!</definedName>
    <definedName name="saltbk">#REF!</definedName>
    <definedName name="SAMBGALV">#REF!</definedName>
    <definedName name="sampah">#REF!</definedName>
    <definedName name="sand">#REF!</definedName>
    <definedName name="SANYO250">#REF!</definedName>
    <definedName name="SANYO450">#REF!</definedName>
    <definedName name="SAS">'[28]SCH_GG &amp; SAS'!$A$3:$D$379</definedName>
    <definedName name="satpamarsitek" localSheetId="42">#REF!</definedName>
    <definedName name="satpamarsitek">#REF!</definedName>
    <definedName name="satpamsipil" localSheetId="42">#REF!</definedName>
    <definedName name="satpamsipil">#REF!</definedName>
    <definedName name="SAVE" localSheetId="42">#REF!</definedName>
    <definedName name="SAVE">#REF!</definedName>
    <definedName name="SB">#REF!</definedName>
    <definedName name="SB.1">#REF!</definedName>
    <definedName name="SB.2">#REF!</definedName>
    <definedName name="SB.3">#REF!</definedName>
    <definedName name="SB.4">#REF!</definedName>
    <definedName name="SB.5">#REF!</definedName>
    <definedName name="sc">#REF!</definedName>
    <definedName name="SC.1">#REF!</definedName>
    <definedName name="scc">#REF!</definedName>
    <definedName name="scedu">#REF!</definedName>
    <definedName name="SCH_0">#REF!</definedName>
    <definedName name="SCH_0_R1">#REF!</definedName>
    <definedName name="SCH_1">#REF!</definedName>
    <definedName name="SCH_BS">#REF!</definedName>
    <definedName name="SCH_GG">'[28]SCH_GG &amp; SAS'!$E$3:$F$15</definedName>
    <definedName name="SCH_S" localSheetId="42">#REF!</definedName>
    <definedName name="SCH_S">#REF!</definedName>
    <definedName name="SCHEDULE">#N/A</definedName>
    <definedName name="screed" localSheetId="42">#REF!</definedName>
    <definedName name="screed">#REF!</definedName>
    <definedName name="SCREEN" localSheetId="42">#REF!</definedName>
    <definedName name="SCREEN">#REF!</definedName>
    <definedName name="SD">#REF!</definedName>
    <definedName name="sd3p">'[4]lam-moi'!#REF!</definedName>
    <definedName name="sdfgag">'[1]I-KAMAR'!#REF!</definedName>
    <definedName name="sdfgfhjkj">[52]Cover!#REF!</definedName>
    <definedName name="SDMONG">#REF!</definedName>
    <definedName name="SDWG">#REF!</definedName>
    <definedName name="SEALTAPE">#REF!</definedName>
    <definedName name="SEALTOP">#REF!</definedName>
    <definedName name="Section_4_Title">'[40]Fill this out first...'!#REF!</definedName>
    <definedName name="Section_7_Title">'[40]Fill this out first...'!#REF!</definedName>
    <definedName name="semen">#REF!</definedName>
    <definedName name="semen50">#REF!</definedName>
    <definedName name="Seng_BJLS_80">'[29]Daftar Harga'!$G$216</definedName>
    <definedName name="SENGGL">#REF!</definedName>
    <definedName name="SENGPL5">#REF!</definedName>
    <definedName name="SENGPL9">#REF!</definedName>
    <definedName name="septicTK">#REF!</definedName>
    <definedName name="SetPlate">#REF!</definedName>
    <definedName name="sfac">#REF!</definedName>
    <definedName name="SFL">#REF!</definedName>
    <definedName name="sfvd100">#REF!</definedName>
    <definedName name="sg">#REF!</definedName>
    <definedName name="sgnc">[4]gtrinh!#REF!</definedName>
    <definedName name="sgvl">[4]gtrinh!#REF!</definedName>
    <definedName name="SHC_GG">#REF!</definedName>
    <definedName name="shearcon">#REF!</definedName>
    <definedName name="SHOT">#REF!</definedName>
    <definedName name="SHOWER">#REF!</definedName>
    <definedName name="sht">'[4]THPDMoi  (2)'!#REF!</definedName>
    <definedName name="sht3p">'[4]lam-moi'!#REF!</definedName>
    <definedName name="SIAP">#REF!</definedName>
    <definedName name="siku">#REF!</definedName>
    <definedName name="silosipil">#REF!</definedName>
    <definedName name="sirdam">#REF!</definedName>
    <definedName name="sirtu">#REF!</definedName>
    <definedName name="SITE">#REF!</definedName>
    <definedName name="SK">#REF!</definedName>
    <definedName name="skim">#REF!</definedName>
    <definedName name="SL_CRD">#REF!</definedName>
    <definedName name="SL_CRS">#REF!</definedName>
    <definedName name="SL_CS">#REF!</definedName>
    <definedName name="SL_DD">#REF!</definedName>
    <definedName name="Slab">'[72]110 cs EW'!$D$9</definedName>
    <definedName name="SLEE" localSheetId="42">#REF!</definedName>
    <definedName name="SLEE">#REF!</definedName>
    <definedName name="sloop001" localSheetId="42">#REF!</definedName>
    <definedName name="sloop001">#REF!</definedName>
    <definedName name="SO" localSheetId="42">#REF!</definedName>
    <definedName name="SO">#REF!</definedName>
    <definedName name="soc3p">#REF!</definedName>
    <definedName name="SOCK300">#REF!</definedName>
    <definedName name="SOCK400">#REF!</definedName>
    <definedName name="SOH">#REF!</definedName>
    <definedName name="solartuff">#REF!</definedName>
    <definedName name="spk1p">'[4]#REF'!#REF!</definedName>
    <definedName name="spk3p">'[4]lam-moi'!#REF!</definedName>
    <definedName name="split">#REF!</definedName>
    <definedName name="SR">#REF!</definedName>
    <definedName name="SRkg">#REF!</definedName>
    <definedName name="SSE">#REF!</definedName>
    <definedName name="SSS">#REF!</definedName>
    <definedName name="ssss">#REF!</definedName>
    <definedName name="st">#REF!</definedName>
    <definedName name="st3p">'[4]lam-moi'!#REF!</definedName>
    <definedName name="STDE">[12]Material!#REF!</definedName>
    <definedName name="STEEL">'[73]Conn. Lib'!$C$23:$AL$104</definedName>
    <definedName name="STK">[28]Cost_BD_Steel!#REF!</definedName>
    <definedName name="STOP">#REF!</definedName>
    <definedName name="STOP1">#REF!</definedName>
    <definedName name="STOP125">#REF!</definedName>
    <definedName name="STOP2">#REF!</definedName>
    <definedName name="STOP2E">#REF!</definedName>
    <definedName name="STOP34">#REF!</definedName>
    <definedName name="STOPE">#REF!</definedName>
    <definedName name="STOPK">#REF!</definedName>
    <definedName name="STOPTEL">#REF!</definedName>
    <definedName name="STOPTV">#REF!</definedName>
    <definedName name="stpiezo">#REF!</definedName>
    <definedName name="STR">#REF!</definedName>
    <definedName name="strauss">#REF!</definedName>
    <definedName name="SUBT">#REF!</definedName>
    <definedName name="SUM">'[73]Conn. Lib'!$C$23:$AL$104</definedName>
    <definedName name="sum_det" localSheetId="42">#REF!</definedName>
    <definedName name="sum_det">#REF!</definedName>
    <definedName name="SUM2A" localSheetId="42">#REF!</definedName>
    <definedName name="SUM2A">#REF!</definedName>
    <definedName name="SUMI" localSheetId="42">#REF!</definedName>
    <definedName name="SUMI">#REF!</definedName>
    <definedName name="sunstop">#REF!</definedName>
    <definedName name="SUP">#REF!</definedName>
    <definedName name="SUPFS">#REF!</definedName>
    <definedName name="SUPIR_TRUK">#REF!</definedName>
    <definedName name="support001">[61]Bahan!#REF!</definedName>
    <definedName name="SUPT">#REF!</definedName>
    <definedName name="sw35besi">#REF!</definedName>
    <definedName name="sw45besi">#REF!</definedName>
    <definedName name="swk">[10]index!$I$17</definedName>
    <definedName name="sys">#REF!</definedName>
    <definedName name="T">[28]Cost_BD_Steel!#REF!</definedName>
    <definedName name="T_BEAM_GG">#REF!</definedName>
    <definedName name="t101p">#REF!</definedName>
    <definedName name="t103p">#REF!</definedName>
    <definedName name="t105mnc">'[4]thao-go'!#REF!</definedName>
    <definedName name="t10m">'[4]lam-moi'!#REF!</definedName>
    <definedName name="t10nc">'[4]lam-moi'!#REF!</definedName>
    <definedName name="t10nc1p">#REF!</definedName>
    <definedName name="t10ncm">'[4]lam-moi'!#REF!</definedName>
    <definedName name="t10vl">'[4]lam-moi'!#REF!</definedName>
    <definedName name="t10vl1p">#REF!</definedName>
    <definedName name="t121p">#REF!</definedName>
    <definedName name="t123p">#REF!</definedName>
    <definedName name="t12m">'[4]lam-moi'!#REF!</definedName>
    <definedName name="t12mnc">'[4]thao-go'!#REF!</definedName>
    <definedName name="t12nc">'[4]lam-moi'!#REF!</definedName>
    <definedName name="t12nc3p">'[4]CHITIET VL-NC'!$G$38</definedName>
    <definedName name="t12ncm">'[4]lam-moi'!#REF!</definedName>
    <definedName name="t12vl">'[4]lam-moi'!#REF!</definedName>
    <definedName name="t12vl3p">'[4]CHITIET VL-NC'!$G$34</definedName>
    <definedName name="t141p">#REF!</definedName>
    <definedName name="t143p">#REF!</definedName>
    <definedName name="t14m">'[4]lam-moi'!#REF!</definedName>
    <definedName name="t14mnc">'[4]thao-go'!#REF!</definedName>
    <definedName name="t14nc">'[4]lam-moi'!#REF!</definedName>
    <definedName name="t14nc3p">#REF!</definedName>
    <definedName name="t14ncm">'[4]lam-moi'!#REF!</definedName>
    <definedName name="T14vc">'[4]CHITIET VL-NC-TT -1p'!#REF!</definedName>
    <definedName name="t14vl">'[4]lam-moi'!#REF!</definedName>
    <definedName name="t14vl3p">#REF!</definedName>
    <definedName name="T203P">[4]VC!#REF!</definedName>
    <definedName name="t20m">'[4]lam-moi'!#REF!</definedName>
    <definedName name="t20ncm">'[4]lam-moi'!#REF!</definedName>
    <definedName name="t7m">'[4]THPDMoi  (2)'!#REF!</definedName>
    <definedName name="t7nc">'[4]lam-moi'!#REF!</definedName>
    <definedName name="t7vl">'[4]lam-moi'!#REF!</definedName>
    <definedName name="t84mnc">'[4]thao-go'!#REF!</definedName>
    <definedName name="t8m">'[4]THPDMoi  (2)'!#REF!</definedName>
    <definedName name="t8nc">'[4]lam-moi'!#REF!</definedName>
    <definedName name="t8vl">'[4]lam-moi'!#REF!</definedName>
    <definedName name="TACK_COAT">'[27]DAFTAR HARGA'!#REF!</definedName>
    <definedName name="talanggalvalum">#REF!</definedName>
    <definedName name="talangpvc">#REF!</definedName>
    <definedName name="talangstainless">#REF!</definedName>
    <definedName name="Talfiber">#REF!</definedName>
    <definedName name="tambah" localSheetId="14">STOP:STOPE</definedName>
    <definedName name="tambah" localSheetId="42">STOP:STOPE</definedName>
    <definedName name="tambah">STOP:STOPE</definedName>
    <definedName name="Tambahan" localSheetId="42">#REF!</definedName>
    <definedName name="Tambahan">#REF!</definedName>
    <definedName name="TANAH" localSheetId="42">#REF!</definedName>
    <definedName name="TANAH">#REF!</definedName>
    <definedName name="tanahurug">#REF!</definedName>
    <definedName name="tandem">#REF!</definedName>
    <definedName name="TANGGA">#REF!</definedName>
    <definedName name="TANGPUT">#REF!</definedName>
    <definedName name="tanki">#REF!</definedName>
    <definedName name="TANKI1000">#REF!</definedName>
    <definedName name="TANKI500">#REF!</definedName>
    <definedName name="tawg16">#REF!</definedName>
    <definedName name="tbdd1p" localSheetId="42">'[4]lam-moi'!#REF!</definedName>
    <definedName name="tbdd1p">'[4]lam-moi'!#REF!</definedName>
    <definedName name="tbdd3p" localSheetId="42">'[4]lam-moi'!#REF!</definedName>
    <definedName name="tbdd3p">'[4]lam-moi'!#REF!</definedName>
    <definedName name="tbddsdl" localSheetId="42">'[4]lam-moi'!#REF!</definedName>
    <definedName name="tbddsdl">'[4]lam-moi'!#REF!</definedName>
    <definedName name="TBI" localSheetId="42">'[4]TH XL'!#REF!</definedName>
    <definedName name="TBI">'[4]TH XL'!#REF!</definedName>
    <definedName name="TBL_1" localSheetId="42">'[74]A-12'!#REF!</definedName>
    <definedName name="TBL_1">'[74]A-12'!#REF!</definedName>
    <definedName name="TBL_10" localSheetId="42">'[69]A-11 Steel Str'!#REF!</definedName>
    <definedName name="TBL_10">'[69]A-11 Steel Str'!#REF!</definedName>
    <definedName name="TBL_11" localSheetId="42">'[69]A-11 Steel Str'!#REF!</definedName>
    <definedName name="TBL_11">'[69]A-11 Steel Str'!#REF!</definedName>
    <definedName name="TBL_2" localSheetId="42">'[69]A-11 Steel Str'!#REF!</definedName>
    <definedName name="TBL_2">'[69]A-11 Steel Str'!#REF!</definedName>
    <definedName name="TBL_3" localSheetId="42">'[69]A-11 Steel Str'!#REF!</definedName>
    <definedName name="TBL_3">'[69]A-11 Steel Str'!#REF!</definedName>
    <definedName name="TBL_4_5" localSheetId="42">'[69]A-11 Steel Str'!#REF!</definedName>
    <definedName name="TBL_4_5">'[69]A-11 Steel Str'!#REF!</definedName>
    <definedName name="TBL_6" localSheetId="42">'[69]A-11 Steel Str'!#REF!</definedName>
    <definedName name="TBL_6">'[69]A-11 Steel Str'!#REF!</definedName>
    <definedName name="TBL_7" localSheetId="42">'[69]A-11 Steel Str'!#REF!</definedName>
    <definedName name="TBL_7">'[69]A-11 Steel Str'!#REF!</definedName>
    <definedName name="TBL_8_9" localSheetId="42">'[69]A-11 Steel Str'!#REF!</definedName>
    <definedName name="TBL_8_9">'[69]A-11 Steel Str'!#REF!</definedName>
    <definedName name="TBL_UT" localSheetId="42">'[69]A-03 Pile'!#REF!</definedName>
    <definedName name="TBL_UT">'[69]A-03 Pile'!#REF!</definedName>
    <definedName name="tbtr" localSheetId="42">'[4]TH XL'!#REF!</definedName>
    <definedName name="tbtr">'[4]TH XL'!#REF!</definedName>
    <definedName name="tbtram" localSheetId="42">#REF!</definedName>
    <definedName name="tbtram">#REF!</definedName>
    <definedName name="TC" localSheetId="42">#REF!</definedName>
    <definedName name="TC">#REF!</definedName>
    <definedName name="TC_NHANH1">#REF!</definedName>
    <definedName name="tcxxnc" localSheetId="42">'[4]thao-go'!#REF!</definedName>
    <definedName name="tcxxnc">'[4]thao-go'!#REF!</definedName>
    <definedName name="td" localSheetId="42">'[4]THPDMoi  (2)'!#REF!</definedName>
    <definedName name="td">'[4]THPDMoi  (2)'!#REF!</definedName>
    <definedName name="td10vl" localSheetId="42">'[4]#REF'!#REF!</definedName>
    <definedName name="td10vl">'[4]#REF'!#REF!</definedName>
    <definedName name="td12nc" localSheetId="42">'[4]#REF'!#REF!</definedName>
    <definedName name="td12nc">'[4]#REF'!#REF!</definedName>
    <definedName name="td1cnc" localSheetId="42">'[4]lam-moi'!#REF!</definedName>
    <definedName name="td1cnc">'[4]lam-moi'!#REF!</definedName>
    <definedName name="td1cvl" localSheetId="42">'[4]lam-moi'!#REF!</definedName>
    <definedName name="td1cvl">'[4]lam-moi'!#REF!</definedName>
    <definedName name="td1p" localSheetId="42">#REF!</definedName>
    <definedName name="td1p">#REF!</definedName>
    <definedName name="TD1pnc" localSheetId="42">'[4]CHITIET VL-NC-TT -1p'!#REF!</definedName>
    <definedName name="TD1pnc">'[4]CHITIET VL-NC-TT -1p'!#REF!</definedName>
    <definedName name="TD1pvl" localSheetId="42">'[4]CHITIET VL-NC-TT -1p'!#REF!</definedName>
    <definedName name="TD1pvl">'[4]CHITIET VL-NC-TT -1p'!#REF!</definedName>
    <definedName name="td3p" localSheetId="42">#REF!</definedName>
    <definedName name="td3p">#REF!</definedName>
    <definedName name="tdc84nc" localSheetId="42">'[4]thao-go'!#REF!</definedName>
    <definedName name="tdc84nc">'[4]thao-go'!#REF!</definedName>
    <definedName name="tdcnc" localSheetId="42">'[4]thao-go'!#REF!</definedName>
    <definedName name="tdcnc">'[4]thao-go'!#REF!</definedName>
    <definedName name="tdgnc" localSheetId="42">'[4]lam-moi'!#REF!</definedName>
    <definedName name="tdgnc">'[4]lam-moi'!#REF!</definedName>
    <definedName name="tdgvl" localSheetId="42">'[4]lam-moi'!#REF!</definedName>
    <definedName name="tdgvl">'[4]lam-moi'!#REF!</definedName>
    <definedName name="tdhtnc" localSheetId="42">'[4]lam-moi'!#REF!</definedName>
    <definedName name="tdhtnc">'[4]lam-moi'!#REF!</definedName>
    <definedName name="tdhtvl" localSheetId="42">'[4]lam-moi'!#REF!</definedName>
    <definedName name="tdhtvl">'[4]lam-moi'!#REF!</definedName>
    <definedName name="tdnc" localSheetId="42">[4]gtrinh!#REF!</definedName>
    <definedName name="tdnc">[4]gtrinh!#REF!</definedName>
    <definedName name="tdnc1p" localSheetId="42">#REF!</definedName>
    <definedName name="tdnc1p">#REF!</definedName>
    <definedName name="tdnc3p">'[4]CHITIET VL-NC'!$G$28</definedName>
    <definedName name="tdt1pnc">[4]gtrinh!#REF!</definedName>
    <definedName name="tdt1pvl">[4]gtrinh!#REF!</definedName>
    <definedName name="tdt2cnc">'[4]lam-moi'!#REF!</definedName>
    <definedName name="tdt2cvl">[4]chitiet!#REF!</definedName>
    <definedName name="tdtr2cnc">#REF!</definedName>
    <definedName name="tdtr2cvl">#REF!</definedName>
    <definedName name="tdtrnc">[4]gtrinh!#REF!</definedName>
    <definedName name="tdtrvl">[4]gtrinh!#REF!</definedName>
    <definedName name="tdvl">[4]gtrinh!#REF!</definedName>
    <definedName name="tdvl1p">#REF!</definedName>
    <definedName name="tdvl3p">'[4]CHITIET VL-NC'!$G$23</definedName>
    <definedName name="TEAKWOOD">#REF!</definedName>
    <definedName name="TEST">#REF!</definedName>
    <definedName name="th3x15">[4]giathanh1!#REF!</definedName>
    <definedName name="ThanhXuan110">'[75]KH-Q1,Q2,01'!#REF!</definedName>
    <definedName name="THGO1pnc" localSheetId="42">#REF!</definedName>
    <definedName name="THGO1pnc">#REF!</definedName>
    <definedName name="thht" localSheetId="42">#REF!</definedName>
    <definedName name="thht">#REF!</definedName>
    <definedName name="THKP160" localSheetId="42">'[4]dongia (2)'!#REF!</definedName>
    <definedName name="THKP160">'[4]dongia (2)'!#REF!</definedName>
    <definedName name="thkp3" localSheetId="42">#REF!</definedName>
    <definedName name="thkp3">#REF!</definedName>
    <definedName name="thtr15" localSheetId="42">[4]giathanh1!#REF!</definedName>
    <definedName name="thtr15">[4]giathanh1!#REF!</definedName>
    <definedName name="thtt" localSheetId="42">#REF!</definedName>
    <definedName name="thtt">#REF!</definedName>
    <definedName name="TI">#REF!</definedName>
    <definedName name="tide">#REF!</definedName>
    <definedName name="tideflex">#REF!</definedName>
    <definedName name="tidf10">#REF!</definedName>
    <definedName name="tidf100">#REF!</definedName>
    <definedName name="tidf350">#REF!</definedName>
    <definedName name="Tiepdia">[4]Tiepdia!$1:$1048576</definedName>
    <definedName name="tierod" localSheetId="42">#REF!</definedName>
    <definedName name="tierod">#REF!</definedName>
    <definedName name="tin" localSheetId="42">#REF!</definedName>
    <definedName name="tin">#REF!</definedName>
    <definedName name="Title">[76]Cover!$C$1</definedName>
    <definedName name="tki" localSheetId="42">#REF!</definedName>
    <definedName name="tki">#REF!</definedName>
    <definedName name="tkitc10x2x0.6" localSheetId="42">#REF!</definedName>
    <definedName name="tkitc10x2x0.6">#REF!</definedName>
    <definedName name="tl1x36bimc" localSheetId="42">#REF!</definedName>
    <definedName name="tl1x36bimc">#REF!</definedName>
    <definedName name="tla2x18iac">#REF!</definedName>
    <definedName name="tla2x18iacbimc">#REF!</definedName>
    <definedName name="TLAC120">#REF!</definedName>
    <definedName name="TLAC35">#REF!</definedName>
    <definedName name="TLAC50">#REF!</definedName>
    <definedName name="TLAC70">#REF!</definedName>
    <definedName name="TLAC95">#REF!</definedName>
    <definedName name="tlb1x18">#REF!</definedName>
    <definedName name="tlb1x36">#REF!</definedName>
    <definedName name="tlb1x36bimc">#REF!</definedName>
    <definedName name="tlb1x36w">#REF!</definedName>
    <definedName name="tlbk1x36">#REF!</definedName>
    <definedName name="tlbvs2x18">#REF!</definedName>
    <definedName name="tlbvs2x18bimc">#REF!</definedName>
    <definedName name="tlc20bimc">#REF!</definedName>
    <definedName name="tlidf250p">#REF!</definedName>
    <definedName name="tltko2x36">#REF!</definedName>
    <definedName name="tltko2x36bimc">#REF!</definedName>
    <definedName name="tn1pinnc">'[4]thao-go'!#REF!</definedName>
    <definedName name="tn2mhnnc">'[4]thao-go'!#REF!</definedName>
    <definedName name="TNCM">'[4]CHITIET VL-NC-TT-3p'!#REF!</definedName>
    <definedName name="tnhnnc">'[4]thao-go'!#REF!</definedName>
    <definedName name="tnignc">'[4]thao-go'!#REF!</definedName>
    <definedName name="tnin190nc">'[4]thao-go'!#REF!</definedName>
    <definedName name="tnlnc">'[4]thao-go'!#REF!</definedName>
    <definedName name="tnnnc">'[4]thao-go'!#REF!</definedName>
    <definedName name="TOP">#REF!</definedName>
    <definedName name="total">#REF!</definedName>
    <definedName name="totTAlt5minplatTAlt6">#REF!</definedName>
    <definedName name="TOWER">#REF!</definedName>
    <definedName name="town_a">#REF!</definedName>
    <definedName name="town_b">#REF!</definedName>
    <definedName name="town_c">#REF!</definedName>
    <definedName name="town_d">#REF!</definedName>
    <definedName name="town_e">#REF!</definedName>
    <definedName name="TP">#REF!</definedName>
    <definedName name="tpm">#REF!</definedName>
    <definedName name="tr">#REF!</definedName>
    <definedName name="TR15HT">'[4]TONGKE-HT'!#REF!</definedName>
    <definedName name="TR16HT">'[4]TONGKE-HT'!#REF!</definedName>
    <definedName name="TR19HT">'[4]TONGKE-HT'!#REF!</definedName>
    <definedName name="tr1x15">[4]giathanh1!#REF!</definedName>
    <definedName name="TR20HT">'[4]TONGKE-HT'!#REF!</definedName>
    <definedName name="tr3x100">'[4]dongia (2)'!#REF!</definedName>
    <definedName name="tram100">'[4]dongia (2)'!#REF!</definedName>
    <definedName name="tram1x25">'[4]dongia (2)'!#REF!</definedName>
    <definedName name="Triplek_3_mm">'[29]Daftar Harga'!$G$108</definedName>
    <definedName name="TRIPLEX_3">#REF!</definedName>
    <definedName name="TRIPLEX_4">#REF!</definedName>
    <definedName name="TRIPLEX_6">#REF!</definedName>
    <definedName name="TRIPLEX_9">#REF!</definedName>
    <definedName name="TRIPLEX12">#REF!</definedName>
    <definedName name="TRIPLEX18">#REF!</definedName>
    <definedName name="TRIX">#REF!</definedName>
    <definedName name="TRL">#REF!</definedName>
    <definedName name="trowel">#REF!</definedName>
    <definedName name="tru10mtc">'[4]t-h HA THE'!#REF!</definedName>
    <definedName name="tru8mtc">'[4]t-h HA THE'!#REF!</definedName>
    <definedName name="tscb">#REF!</definedName>
    <definedName name="tscs3w">#REF!</definedName>
    <definedName name="tscs6w">#REF!</definedName>
    <definedName name="tshs15">#REF!</definedName>
    <definedName name="tshs6w">#REF!</definedName>
    <definedName name="tski">#REF!</definedName>
    <definedName name="tskie">#REF!</definedName>
    <definedName name="tsnya2x1.5">#REF!</definedName>
    <definedName name="tsnyafrc">#REF!</definedName>
    <definedName name="tso">#REF!</definedName>
    <definedName name="TT_1P">#REF!</definedName>
    <definedName name="TT_3p">#REF!</definedName>
    <definedName name="tt1pnc">'[4]lam-moi'!#REF!</definedName>
    <definedName name="tt1pvl">'[4]lam-moi'!#REF!</definedName>
    <definedName name="tt3pnc">'[4]lam-moi'!#REF!</definedName>
    <definedName name="tt3pvl">'[4]lam-moi'!#REF!</definedName>
    <definedName name="TTDD">[4]TDTKP!$E$44+[4]TDTKP!$F$44+[4]TDTKP!$G$44</definedName>
    <definedName name="TTDD3P">[4]TDTKP1!#REF!</definedName>
    <definedName name="TTDDCT3p">[4]TDTKP1!#REF!</definedName>
    <definedName name="TTK3p">'[4]TONGKE3p '!$C$295</definedName>
    <definedName name="ttronmk">#REF!</definedName>
    <definedName name="Tukang">#REF!</definedName>
    <definedName name="TUKANG_BATU_SETENGAH_TERAMPIL">#REF!</definedName>
    <definedName name="TUKANG_BATU_TERAMPIL">'[30]Daftar Upah'!$D$22</definedName>
    <definedName name="TUKANG_BESI_BETON_SETENGAH_TERAMPIL">#REF!</definedName>
    <definedName name="TUKANG_BESI_BETON_TERAMPIL">#REF!</definedName>
    <definedName name="TUKANG_BESI_PROFIL_SETENGAH_TERAMPIL">#REF!</definedName>
    <definedName name="TUKANG_BESI_PROFIL_TERAMPIL">#REF!</definedName>
    <definedName name="TUKANG_CAT___PELITUR_SETENGAH_TERAMPIL">#REF!</definedName>
    <definedName name="TUKANG_CAT___PELITUR_TERAMPIL">#REF!</definedName>
    <definedName name="TUKANG_GALI">#REF!</definedName>
    <definedName name="TUKANG_KAYU_SETENGAH_TERAMPIL">'[29]Daftar Upah'!$D$18</definedName>
    <definedName name="TUKANG_KAYU_TERAMPIL">'[29]Daftar Upah'!$D$23</definedName>
    <definedName name="TUKANG_MEUBELAIR">#REF!</definedName>
    <definedName name="TUKANG_TAMAN">#REF!</definedName>
    <definedName name="tul.polos">#REF!</definedName>
    <definedName name="tul.ulir">#REF!</definedName>
    <definedName name="tulangan">#REF!</definedName>
    <definedName name="turn">#REF!</definedName>
    <definedName name="TURN12">#REF!</definedName>
    <definedName name="TURN16">#REF!</definedName>
    <definedName name="TURN19">#REF!</definedName>
    <definedName name="tv75nc">#REF!</definedName>
    <definedName name="tv75vl">#REF!</definedName>
    <definedName name="tx1pignc">'[4]thao-go'!#REF!</definedName>
    <definedName name="tx1pindnc">'[4]thao-go'!#REF!</definedName>
    <definedName name="tx1pingnc">'[4]thao-go'!#REF!</definedName>
    <definedName name="tx1pintnc">'[4]thao-go'!#REF!</definedName>
    <definedName name="tx1pitnc">'[4]thao-go'!#REF!</definedName>
    <definedName name="tx2mhnnc">'[4]thao-go'!#REF!</definedName>
    <definedName name="tx2mitnc">'[4]thao-go'!#REF!</definedName>
    <definedName name="txhnnc">'[4]thao-go'!#REF!</definedName>
    <definedName name="txig1nc">'[4]thao-go'!#REF!</definedName>
    <definedName name="txin190nc">'[4]thao-go'!#REF!</definedName>
    <definedName name="txinnc">'[4]thao-go'!#REF!</definedName>
    <definedName name="txit1nc">'[4]thao-go'!#REF!</definedName>
    <definedName name="TYPE_LILY__DOUBLE_STOREY_TERRACE_HOUSES">#REF!</definedName>
    <definedName name="TYPICAL_FLOOR___7_LEVEL">#REF!</definedName>
    <definedName name="U">[28]Cost_BD_Steel!#REF!</definedName>
    <definedName name="U_GG">#REF!</definedName>
    <definedName name="UAC">#REF!</definedName>
    <definedName name="ufac">#REF!</definedName>
    <definedName name="unfac">#REF!</definedName>
    <definedName name="UNME">[12]Material!#REF!</definedName>
    <definedName name="UNP">#REF!</definedName>
    <definedName name="UPAH">#REF!</definedName>
    <definedName name="UPAH?">#REF!</definedName>
    <definedName name="UPHALUMFOIL">#REF!</definedName>
    <definedName name="UPHBATA">#REF!</definedName>
    <definedName name="UPHBATUKALI">#REF!</definedName>
    <definedName name="UPHBEDENG">#REF!</definedName>
    <definedName name="UPHBEKISPLAT">#REF!</definedName>
    <definedName name="UPHBESI">#REF!</definedName>
    <definedName name="UPHBETON">#REF!</definedName>
    <definedName name="UPHBOUW">#REF!</definedName>
    <definedName name="UPHCAT">#REF!</definedName>
    <definedName name="UPHGALI">#REF!</definedName>
    <definedName name="UPHGALV">#REF!</definedName>
    <definedName name="UPHGENTENG">#REF!</definedName>
    <definedName name="UPHGYPSUM">#REF!</definedName>
    <definedName name="UPHJEND">#REF!</definedName>
    <definedName name="UPHKASO">#REF!</definedName>
    <definedName name="UPHKBEKISKOL">#REF!</definedName>
    <definedName name="UPHKERAMIK">#REF!</definedName>
    <definedName name="UPHKOLPRAK">#REF!</definedName>
    <definedName name="UPHKUDA">#REF!</definedName>
    <definedName name="UPHKUSEN">#REF!</definedName>
    <definedName name="UPHLISTPLANK">#REF!</definedName>
    <definedName name="UPHLISTRIK">#REF!</definedName>
    <definedName name="UPHMARMER">#REF!</definedName>
    <definedName name="UPHMARMERSLAB">#REF!</definedName>
    <definedName name="UPHNOK">#REF!</definedName>
    <definedName name="UPHPAGAR">#REF!</definedName>
    <definedName name="UPHPARTISI">#REF!</definedName>
    <definedName name="UPHPASIRURUG">#REF!</definedName>
    <definedName name="UPHPAVING">#REF!</definedName>
    <definedName name="UPHPLAFOND">#REF!</definedName>
    <definedName name="UPHPLESTER">#REF!</definedName>
    <definedName name="UPHPLINT">#REF!</definedName>
    <definedName name="UPHPLINTMARMER">#REF!</definedName>
    <definedName name="UPHPVC">#REF!</definedName>
    <definedName name="UPHRABAT">#REF!</definedName>
    <definedName name="UPHRANGKA">#REF!</definedName>
    <definedName name="UPHREADY">#REF!</definedName>
    <definedName name="UPHRESIDU">#REF!</definedName>
    <definedName name="UPHTALI">#REF!</definedName>
    <definedName name="UPL">#REF!</definedName>
    <definedName name="upto">#REF!</definedName>
    <definedName name="urinoir">#REF!</definedName>
    <definedName name="Urugan_Tanah_Kembali">#REF!</definedName>
    <definedName name="urugankembali">#REF!</definedName>
    <definedName name="uruganlimestone">'[32]Analisa Harga'!$H$71</definedName>
    <definedName name="uruganpasir">'[32]Analisa Harga'!$H$82</definedName>
    <definedName name="urugkmbl">#REF!</definedName>
    <definedName name="urugsirtu">#REF!</definedName>
    <definedName name="USD">#REF!</definedName>
    <definedName name="v">#REF!</definedName>
    <definedName name="V_2">[77]Pipe!$A$12:$I$33</definedName>
    <definedName name="val">[78]Pipe!$A$12:$I$31</definedName>
    <definedName name="VCDD3p">'[4]KPVC-BD '!#REF!</definedName>
    <definedName name="VCHT" localSheetId="42">#REF!</definedName>
    <definedName name="VCHT">#REF!</definedName>
    <definedName name="VCTT" localSheetId="42">#REF!</definedName>
    <definedName name="VCTT">#REF!</definedName>
    <definedName name="VCVBT1">'[4]VCV-BE-TONG'!$G$11</definedName>
    <definedName name="VCVBT2">'[4]VCV-BE-TONG'!$G$17</definedName>
    <definedName name="vd" localSheetId="42">#REF!</definedName>
    <definedName name="vd">#REF!</definedName>
    <definedName name="vd3p" localSheetId="42">#REF!</definedName>
    <definedName name="vd3p">#REF!</definedName>
    <definedName name="Vibrator" localSheetId="42">#REF!</definedName>
    <definedName name="Vibrator">#REF!</definedName>
    <definedName name="vibro">#REF!</definedName>
    <definedName name="vl1p">#REF!</definedName>
    <definedName name="vl3p">#REF!</definedName>
    <definedName name="vldd">'[4]TH XL'!#REF!</definedName>
    <definedName name="vldn400">#REF!</definedName>
    <definedName name="vldn600">#REF!</definedName>
    <definedName name="VLHC">[4]TNHCHINH!$I$38</definedName>
    <definedName name="vltr">'[4]TH XL'!#REF!</definedName>
    <definedName name="vltram">#REF!</definedName>
    <definedName name="vntf100">#REF!</definedName>
    <definedName name="vntf80">#REF!</definedName>
    <definedName name="vol">[38]FINISHING!#REF!</definedName>
    <definedName name="vr3p">#REF!</definedName>
    <definedName name="vt1pbs">'[4]lam-moi'!#REF!</definedName>
    <definedName name="vtbs">'[4]lam-moi'!#REF!</definedName>
    <definedName name="VUP">#REF!</definedName>
    <definedName name="W">#REF!</definedName>
    <definedName name="WA">#REF!</definedName>
    <definedName name="wastafel">#REF!</definedName>
    <definedName name="WASTAFEL220">#REF!</definedName>
    <definedName name="WATE">[12]Material!#REF!</definedName>
    <definedName name="waterprf">[42]INDEX!$D$43</definedName>
    <definedName name="waterproof">#REF!</definedName>
    <definedName name="waterproofing001">#REF!</definedName>
    <definedName name="WD">#REF!</definedName>
    <definedName name="WD2a">#REF!</definedName>
    <definedName name="WD2b">#REF!</definedName>
    <definedName name="weathershield">#REF!</definedName>
    <definedName name="weephole">[70]Infra!#REF!</definedName>
    <definedName name="WF" localSheetId="42">#REF!</definedName>
    <definedName name="WF">#REF!</definedName>
    <definedName name="WF_GG" localSheetId="42">#REF!</definedName>
    <definedName name="WF_GG">#REF!</definedName>
    <definedName name="WFbsr" localSheetId="42">#REF!</definedName>
    <definedName name="WFbsr">#REF!</definedName>
    <definedName name="WFbsr2">#REF!</definedName>
    <definedName name="WFctl">#REF!</definedName>
    <definedName name="WFCTLBSR">#REF!</definedName>
    <definedName name="wfwk">[11]Bldg!#REF!</definedName>
    <definedName name="Wiremesh_M10">#REF!</definedName>
    <definedName name="Wiremesh_M8">#REF!</definedName>
    <definedName name="wls">[13]SAP!#REF!</definedName>
    <definedName name="WP">#REF!</definedName>
    <definedName name="WR">#REF!</definedName>
    <definedName name="wreo">[11]Bldg!#REF!</definedName>
    <definedName name="wrn.chi._.tiÆt." localSheetId="14" hidden="1">{#N/A,#N/A,FALSE,"Chi tiÆt"}</definedName>
    <definedName name="wrn.chi._.tiÆt." localSheetId="42" hidden="1">{#N/A,#N/A,FALSE,"Chi tiÆt"}</definedName>
    <definedName name="wrn.chi._.tiÆt." hidden="1">{#N/A,#N/A,FALSE,"Chi tiÆt"}</definedName>
    <definedName name="wrn.Full._.Report." localSheetId="14" hidden="1">{#N/A,#N/A,TRUE,"Front";#N/A,#N/A,TRUE,"Simple Letter";#N/A,#N/A,TRUE,"Inside";#N/A,#N/A,TRUE,"Contents";#N/A,#N/A,TRUE,"Basis";#N/A,#N/A,TRUE,"Inclusions";#N/A,#N/A,TRUE,"Exclusions";#N/A,#N/A,TRUE,"Areas";#N/A,#N/A,TRUE,"Summary";#N/A,#N/A,TRUE,"Detail"}</definedName>
    <definedName name="wrn.Full._.Report." localSheetId="42" hidden="1">{#N/A,#N/A,TRUE,"Front";#N/A,#N/A,TRUE,"Simple Letter";#N/A,#N/A,TRUE,"Inside";#N/A,#N/A,TRUE,"Contents";#N/A,#N/A,TRUE,"Basis";#N/A,#N/A,TRUE,"Inclusions";#N/A,#N/A,TRUE,"Exclusions";#N/A,#N/A,TRUE,"Areas";#N/A,#N/A,TRUE,"Summary";#N/A,#N/A,TRUE,"Detail"}</definedName>
    <definedName name="wrn.Full._.Report." hidden="1">{#N/A,#N/A,TRUE,"Front";#N/A,#N/A,TRUE,"Simple Letter";#N/A,#N/A,TRUE,"Inside";#N/A,#N/A,TRUE,"Contents";#N/A,#N/A,TRUE,"Basis";#N/A,#N/A,TRUE,"Inclusions";#N/A,#N/A,TRUE,"Exclusions";#N/A,#N/A,TRUE,"Areas";#N/A,#N/A,TRUE,"Summary";#N/A,#N/A,TRUE,"Detail"}</definedName>
    <definedName name="wsand">[11]Bldg!#REF!</definedName>
    <definedName name="wtc">#REF!</definedName>
    <definedName name="wvrcg25">[11]Bldg!#REF!</definedName>
    <definedName name="x">#REF!</definedName>
    <definedName name="x17dnc">[4]chitiet!#REF!</definedName>
    <definedName name="x17dvl">[4]chitiet!#REF!</definedName>
    <definedName name="x17knc">[4]chitiet!#REF!</definedName>
    <definedName name="x17kvl">[4]chitiet!#REF!</definedName>
    <definedName name="X1pFCOnc">'[4]CHITIET VL-NC-TT -1p'!#REF!</definedName>
    <definedName name="X1pFCOvc">'[4]CHITIET VL-NC-TT -1p'!#REF!</definedName>
    <definedName name="X1pFCOvl">'[4]CHITIET VL-NC-TT -1p'!#REF!</definedName>
    <definedName name="x1pignc">'[4]lam-moi'!#REF!</definedName>
    <definedName name="X1pIGvc">'[4]CHITIET VL-NC-TT -1p'!#REF!</definedName>
    <definedName name="x1pigvl">'[4]lam-moi'!#REF!</definedName>
    <definedName name="x1pind">#REF!</definedName>
    <definedName name="x1pindnc">'[4]lam-moi'!#REF!</definedName>
    <definedName name="x1pindvl">'[4]lam-moi'!#REF!</definedName>
    <definedName name="x1ping">#REF!</definedName>
    <definedName name="x1pingnc">'[4]lam-moi'!#REF!</definedName>
    <definedName name="x1pingvl">'[4]lam-moi'!#REF!</definedName>
    <definedName name="x1pint">#REF!</definedName>
    <definedName name="x1pintnc">'[4]lam-moi'!#REF!</definedName>
    <definedName name="X1pINTvc">'[4]CHITIET VL-NC-TT -1p'!#REF!</definedName>
    <definedName name="x1pintvl">'[4]lam-moi'!#REF!</definedName>
    <definedName name="x1pitnc">'[4]lam-moi'!#REF!</definedName>
    <definedName name="X1pITvc">'[4]CHITIET VL-NC-TT -1p'!#REF!</definedName>
    <definedName name="x1pitvl">'[4]lam-moi'!#REF!</definedName>
    <definedName name="x20knc">[4]chitiet!#REF!</definedName>
    <definedName name="x20kvl">[4]chitiet!#REF!</definedName>
    <definedName name="x22knc">[4]chitiet!#REF!</definedName>
    <definedName name="x22kvl">[4]chitiet!#REF!</definedName>
    <definedName name="x2mig1nc">'[4]lam-moi'!#REF!</definedName>
    <definedName name="x2mig1vl">'[4]lam-moi'!#REF!</definedName>
    <definedName name="x2min1nc">'[4]lam-moi'!#REF!</definedName>
    <definedName name="x2min1vl">'[4]lam-moi'!#REF!</definedName>
    <definedName name="x2mit1vl">'[4]lam-moi'!#REF!</definedName>
    <definedName name="x2mitnc">'[4]lam-moi'!#REF!</definedName>
    <definedName name="XCCT">0.5</definedName>
    <definedName name="xdsnc">[4]gtrinh!#REF!</definedName>
    <definedName name="xdsvl">[4]gtrinh!#REF!</definedName>
    <definedName name="xfco">#REF!</definedName>
    <definedName name="xfco3p">#REF!</definedName>
    <definedName name="xfconc">'[4]lam-moi'!#REF!</definedName>
    <definedName name="xfconc3p">'[4]CHITIET VL-NC'!$G$94</definedName>
    <definedName name="xfcotnc">#REF!</definedName>
    <definedName name="xfcotvl">#REF!</definedName>
    <definedName name="xfcovl">'[4]lam-moi'!#REF!</definedName>
    <definedName name="xfcovl3p">'[4]CHITIET VL-NC'!$G$90</definedName>
    <definedName name="xfnc">'[4]lam-moi'!#REF!</definedName>
    <definedName name="xfvl">'[4]lam-moi'!#REF!</definedName>
    <definedName name="xhn">#REF!</definedName>
    <definedName name="xhnnc">'[4]lam-moi'!#REF!</definedName>
    <definedName name="xhnvl">'[4]lam-moi'!#REF!</definedName>
    <definedName name="xig">#REF!</definedName>
    <definedName name="xig1">#REF!</definedName>
    <definedName name="xig1nc">'[4]lam-moi'!#REF!</definedName>
    <definedName name="xig1p">#REF!</definedName>
    <definedName name="xig1pnc">'[4]lam-moi'!#REF!</definedName>
    <definedName name="xig1pvl">'[4]lam-moi'!#REF!</definedName>
    <definedName name="xig1vl">'[4]lam-moi'!#REF!</definedName>
    <definedName name="xig2nc">'[4]lam-moi'!#REF!</definedName>
    <definedName name="xig2vl">'[4]lam-moi'!#REF!</definedName>
    <definedName name="xig3p">#REF!</definedName>
    <definedName name="xiggnc">'[4]CHITIET VL-NC'!$G$57</definedName>
    <definedName name="xiggvl">'[4]CHITIET VL-NC'!$G$53</definedName>
    <definedName name="xignc">'[4]lam-moi'!#REF!</definedName>
    <definedName name="xignc3p">#REF!</definedName>
    <definedName name="xigvl">'[4]lam-moi'!#REF!</definedName>
    <definedName name="xigvl3p">#REF!</definedName>
    <definedName name="xin">#REF!</definedName>
    <definedName name="xin190">#REF!</definedName>
    <definedName name="xin1903p">#REF!</definedName>
    <definedName name="xin190nc">'[4]lam-moi'!#REF!</definedName>
    <definedName name="xin190nc3p">'[4]CHITIET VL-NC'!$G$76</definedName>
    <definedName name="xin190vl">'[4]lam-moi'!#REF!</definedName>
    <definedName name="xin190vl3p">'[4]CHITIET VL-NC'!$G$72</definedName>
    <definedName name="xin2903p">#REF!</definedName>
    <definedName name="xin290nc3p">#REF!</definedName>
    <definedName name="xin290vl3p">#REF!</definedName>
    <definedName name="xin3p">#REF!</definedName>
    <definedName name="xin901nc">'[4]lam-moi'!#REF!</definedName>
    <definedName name="xin901vl">'[4]lam-moi'!#REF!</definedName>
    <definedName name="xind">#REF!</definedName>
    <definedName name="xind1p">#REF!</definedName>
    <definedName name="xind1pnc">'[4]lam-moi'!#REF!</definedName>
    <definedName name="xind1pvl">'[4]lam-moi'!#REF!</definedName>
    <definedName name="xind3p">#REF!</definedName>
    <definedName name="xindnc">'[4]lam-moi'!#REF!</definedName>
    <definedName name="xindnc1p">#REF!</definedName>
    <definedName name="xindnc3p">'[4]CHITIET VL-NC'!$G$85</definedName>
    <definedName name="xindvl">'[4]lam-moi'!#REF!</definedName>
    <definedName name="xindvl1p">#REF!</definedName>
    <definedName name="xindvl3p">'[4]CHITIET VL-NC'!$G$80</definedName>
    <definedName name="xing1p">#REF!</definedName>
    <definedName name="xing1pnc">'[4]lam-moi'!#REF!</definedName>
    <definedName name="xing1pvl">'[4]lam-moi'!#REF!</definedName>
    <definedName name="xingnc1p">#REF!</definedName>
    <definedName name="xingvl1p">#REF!</definedName>
    <definedName name="xinnc">'[4]lam-moi'!#REF!</definedName>
    <definedName name="xinnc3p">#REF!</definedName>
    <definedName name="xint1p">#REF!</definedName>
    <definedName name="xinvl">'[4]lam-moi'!#REF!</definedName>
    <definedName name="xinvl3p">#REF!</definedName>
    <definedName name="xit">#REF!</definedName>
    <definedName name="xit1">#REF!</definedName>
    <definedName name="xit1nc">'[4]lam-moi'!#REF!</definedName>
    <definedName name="xit1p">#REF!</definedName>
    <definedName name="xit1pnc">'[4]lam-moi'!#REF!</definedName>
    <definedName name="xit1pvl">'[4]lam-moi'!#REF!</definedName>
    <definedName name="xit1vl">'[4]lam-moi'!#REF!</definedName>
    <definedName name="xit2nc">'[4]lam-moi'!#REF!</definedName>
    <definedName name="xit2nc3p">#REF!</definedName>
    <definedName name="xit2vl">'[4]lam-moi'!#REF!</definedName>
    <definedName name="xit2vl3p">#REF!</definedName>
    <definedName name="xit3p">#REF!</definedName>
    <definedName name="xitnc">'[4]lam-moi'!#REF!</definedName>
    <definedName name="xitnc3p">#REF!</definedName>
    <definedName name="xittnc">'[4]CHITIET VL-NC'!$G$48</definedName>
    <definedName name="xittvl">'[4]CHITIET VL-NC'!$G$44</definedName>
    <definedName name="xitvl">'[4]lam-moi'!#REF!</definedName>
    <definedName name="xitvl3p">#REF!</definedName>
    <definedName name="xm">[45]gvl!$N$16</definedName>
    <definedName name="xr1nc">'[4]lam-moi'!#REF!</definedName>
    <definedName name="xr1vl">'[4]lam-moi'!#REF!</definedName>
    <definedName name="xtr3pnc">[4]gtrinh!#REF!</definedName>
    <definedName name="xtr3pvl">[4]gtrinh!#REF!</definedName>
    <definedName name="y">#REF!</definedName>
    <definedName name="Ybm1">'[14]QTO-11P'!$K$114</definedName>
    <definedName name="Ybm2">'[14]QTO-11P'!$K$115</definedName>
    <definedName name="Z">[46]Sheet1!#REF!</definedName>
    <definedName name="Z_4900D912_D400_4A61_8DD9_12CD5711EDE2_.wvu.FilterData" hidden="1">'[15]HRG BAHAN &amp; UPAH okk'!#REF!</definedName>
    <definedName name="Z_5107985B_0AF1_481E_8B01_41E5AE471770_.wvu.FilterData" hidden="1">'[15]HRG BAHAN &amp; UPAH okk'!#REF!</definedName>
    <definedName name="Z_60C09D59_E1B8_4DE0_84A5_C4D52EC877AC_.wvu.Rows" hidden="1">'[15]Analis Kusen okk'!$17:$20,'[15]Analis Kusen okk'!$25:$26,'[15]Analis Kusen okk'!$28:$30,'[15]Analis Kusen okk'!$33:$42,'[15]Analis Kusen okk'!$44:$44,'[15]Analis Kusen okk'!$47:$50,'[15]Analis Kusen okk'!$52:$60,'[15]Analis Kusen okk'!$65:$67,'[15]Analis Kusen okk'!$143:$878</definedName>
    <definedName name="Z_905CC869_795C_4E5E_B879_52BB42470404_.wvu.FilterData" localSheetId="42" hidden="1">'[15]HRG BAHAN &amp; UPAH okk'!#REF!</definedName>
    <definedName name="Z_905CC869_795C_4E5E_B879_52BB42470404_.wvu.FilterData" hidden="1">'[15]HRG BAHAN &amp; UPAH okk'!#REF!</definedName>
    <definedName name="Z_951381D6_C6D1_4C6C_A572_59CAF1F656FA_.wvu.Rows" localSheetId="42" hidden="1">#REF!</definedName>
    <definedName name="Z_951381D6_C6D1_4C6C_A572_59CAF1F656FA_.wvu.Rows" hidden="1">#REF!</definedName>
    <definedName name="Z_C68F7E66_DBEE_4C62_8CE7_6B99B31303FC_.wvu.Rows" hidden="1">'[79]AnalisaSIPIL RIIL'!$208:$214,'[79]AnalisaSIPIL RIIL'!$224:$231,'[79]AnalisaSIPIL RIIL'!$468:$482</definedName>
    <definedName name="zincalume" localSheetId="42">#REF!</definedName>
    <definedName name="zincalume">#REF!</definedName>
    <definedName name="ZZ" localSheetId="42">#REF!</definedName>
    <definedName name="ZZ">#REF!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16" i="30" l="1"/>
  <c r="J15" i="30"/>
  <c r="J14" i="30"/>
  <c r="J13" i="30"/>
  <c r="K28" i="30"/>
  <c r="K39" i="30"/>
  <c r="K57" i="30"/>
  <c r="K69" i="30"/>
  <c r="J60" i="30"/>
  <c r="J59" i="30"/>
  <c r="C60" i="30"/>
  <c r="C59" i="30"/>
  <c r="J55" i="30"/>
  <c r="J54" i="30"/>
  <c r="J53" i="30"/>
  <c r="J52" i="30"/>
  <c r="J51" i="30"/>
  <c r="J50" i="30"/>
  <c r="K53" i="30"/>
  <c r="K54" i="30"/>
  <c r="K55" i="30"/>
  <c r="C55" i="30"/>
  <c r="C54" i="30"/>
  <c r="C53" i="30"/>
  <c r="C52" i="30"/>
  <c r="C51" i="30"/>
  <c r="C50" i="30"/>
  <c r="J46" i="30"/>
  <c r="J45" i="30"/>
  <c r="J44" i="30"/>
  <c r="J43" i="30"/>
  <c r="J42" i="30"/>
  <c r="J41" i="30"/>
  <c r="K42" i="30"/>
  <c r="K48" i="30" s="1"/>
  <c r="K43" i="30"/>
  <c r="K44" i="30"/>
  <c r="K45" i="30"/>
  <c r="K46" i="30"/>
  <c r="C46" i="30"/>
  <c r="C45" i="30"/>
  <c r="C44" i="30"/>
  <c r="C43" i="30"/>
  <c r="C42" i="30"/>
  <c r="C41" i="30"/>
  <c r="J37" i="30"/>
  <c r="J36" i="30"/>
  <c r="J35" i="30"/>
  <c r="J34" i="30"/>
  <c r="K34" i="30" s="1"/>
  <c r="J33" i="30"/>
  <c r="J32" i="30"/>
  <c r="J31" i="30"/>
  <c r="J30" i="30"/>
  <c r="K35" i="30"/>
  <c r="K36" i="30"/>
  <c r="K37" i="30"/>
  <c r="C37" i="30"/>
  <c r="C36" i="30"/>
  <c r="C35" i="30"/>
  <c r="C34" i="30"/>
  <c r="C33" i="30"/>
  <c r="C32" i="30"/>
  <c r="C31" i="30"/>
  <c r="C30" i="30"/>
  <c r="J25" i="30"/>
  <c r="J24" i="30"/>
  <c r="J23" i="30"/>
  <c r="J22" i="30"/>
  <c r="J21" i="30"/>
  <c r="C25" i="30"/>
  <c r="C24" i="30"/>
  <c r="C23" i="30"/>
  <c r="C22" i="30"/>
  <c r="C21" i="30"/>
  <c r="C16" i="30"/>
  <c r="C15" i="30"/>
  <c r="C14" i="30"/>
  <c r="C13" i="30"/>
  <c r="C26" i="64"/>
  <c r="C25" i="64"/>
  <c r="C24" i="64"/>
  <c r="C23" i="64"/>
  <c r="C22" i="64"/>
  <c r="C21" i="64"/>
  <c r="C20" i="64"/>
  <c r="C19" i="64"/>
  <c r="J59" i="58"/>
  <c r="J58" i="58"/>
  <c r="C59" i="58"/>
  <c r="C58" i="58"/>
  <c r="C18" i="64"/>
  <c r="J54" i="58"/>
  <c r="J53" i="58"/>
  <c r="J52" i="58"/>
  <c r="J51" i="58"/>
  <c r="J50" i="58"/>
  <c r="J49" i="58"/>
  <c r="I51" i="58"/>
  <c r="I52" i="58"/>
  <c r="K52" i="58" s="1"/>
  <c r="I53" i="58"/>
  <c r="K53" i="58" s="1"/>
  <c r="I54" i="58"/>
  <c r="K54" i="58" s="1"/>
  <c r="C54" i="58"/>
  <c r="C53" i="58"/>
  <c r="C52" i="58"/>
  <c r="C51" i="58"/>
  <c r="C50" i="58"/>
  <c r="C49" i="58"/>
  <c r="B51" i="58"/>
  <c r="B52" i="58"/>
  <c r="B53" i="58" s="1"/>
  <c r="B54" i="58" s="1"/>
  <c r="C17" i="64"/>
  <c r="C16" i="64"/>
  <c r="J45" i="58"/>
  <c r="J44" i="58"/>
  <c r="J43" i="58"/>
  <c r="J42" i="58"/>
  <c r="J41" i="58"/>
  <c r="J40" i="58"/>
  <c r="K41" i="58"/>
  <c r="K42" i="58"/>
  <c r="K43" i="58"/>
  <c r="K44" i="58"/>
  <c r="K45" i="58"/>
  <c r="C45" i="58"/>
  <c r="C44" i="58"/>
  <c r="C43" i="58"/>
  <c r="C42" i="58"/>
  <c r="C41" i="58"/>
  <c r="C40" i="58"/>
  <c r="J36" i="58"/>
  <c r="J35" i="58"/>
  <c r="J34" i="58"/>
  <c r="J33" i="58"/>
  <c r="J32" i="58"/>
  <c r="J31" i="58"/>
  <c r="J30" i="58"/>
  <c r="J29" i="58"/>
  <c r="K32" i="58"/>
  <c r="C36" i="58"/>
  <c r="C35" i="58"/>
  <c r="C34" i="58"/>
  <c r="C33" i="58"/>
  <c r="C32" i="58"/>
  <c r="C31" i="58"/>
  <c r="C30" i="58"/>
  <c r="C29" i="58"/>
  <c r="C15" i="64"/>
  <c r="C14" i="64"/>
  <c r="J24" i="58"/>
  <c r="K24" i="58" s="1"/>
  <c r="J25" i="58"/>
  <c r="J23" i="58"/>
  <c r="J22" i="58"/>
  <c r="J21" i="58"/>
  <c r="K25" i="58"/>
  <c r="C25" i="58"/>
  <c r="C24" i="58"/>
  <c r="C23" i="58"/>
  <c r="C22" i="58"/>
  <c r="C21" i="58"/>
  <c r="J17" i="58"/>
  <c r="J16" i="58"/>
  <c r="J15" i="58"/>
  <c r="J14" i="58"/>
  <c r="K15" i="58"/>
  <c r="K16" i="58"/>
  <c r="K17" i="58"/>
  <c r="C17" i="58"/>
  <c r="C16" i="58"/>
  <c r="C15" i="58"/>
  <c r="C14" i="58"/>
  <c r="C26" i="63"/>
  <c r="C25" i="63"/>
  <c r="C24" i="63"/>
  <c r="C23" i="63"/>
  <c r="C22" i="63"/>
  <c r="C21" i="63"/>
  <c r="C20" i="63"/>
  <c r="C19" i="63"/>
  <c r="J58" i="57"/>
  <c r="J57" i="57"/>
  <c r="C58" i="57"/>
  <c r="C57" i="57"/>
  <c r="C18" i="63"/>
  <c r="J53" i="57"/>
  <c r="J52" i="57"/>
  <c r="J51" i="57"/>
  <c r="J50" i="57"/>
  <c r="J49" i="57"/>
  <c r="J48" i="57"/>
  <c r="K50" i="57"/>
  <c r="I50" i="57"/>
  <c r="I51" i="57"/>
  <c r="I52" i="57"/>
  <c r="K52" i="57" s="1"/>
  <c r="I53" i="57"/>
  <c r="K53" i="57" s="1"/>
  <c r="C53" i="57"/>
  <c r="C52" i="57"/>
  <c r="C51" i="57"/>
  <c r="C50" i="57"/>
  <c r="C49" i="57"/>
  <c r="C48" i="57"/>
  <c r="B50" i="57"/>
  <c r="B51" i="57" s="1"/>
  <c r="B52" i="57" s="1"/>
  <c r="B53" i="57" s="1"/>
  <c r="C17" i="63"/>
  <c r="C16" i="63"/>
  <c r="J44" i="57"/>
  <c r="K44" i="57" s="1"/>
  <c r="J43" i="57"/>
  <c r="K43" i="57" s="1"/>
  <c r="J42" i="57"/>
  <c r="K42" i="57" s="1"/>
  <c r="J41" i="57"/>
  <c r="K41" i="57" s="1"/>
  <c r="J40" i="57"/>
  <c r="J39" i="57"/>
  <c r="K40" i="57"/>
  <c r="C44" i="57"/>
  <c r="C43" i="57"/>
  <c r="C42" i="57"/>
  <c r="C41" i="57"/>
  <c r="C40" i="57"/>
  <c r="C39" i="57"/>
  <c r="J35" i="57"/>
  <c r="J34" i="57"/>
  <c r="J33" i="57"/>
  <c r="J32" i="57"/>
  <c r="J31" i="57"/>
  <c r="J30" i="57"/>
  <c r="J29" i="57"/>
  <c r="J28" i="57"/>
  <c r="C35" i="57"/>
  <c r="C34" i="57"/>
  <c r="C33" i="57"/>
  <c r="C32" i="57"/>
  <c r="C31" i="57"/>
  <c r="C30" i="57"/>
  <c r="C28" i="57"/>
  <c r="C29" i="57"/>
  <c r="C24" i="57"/>
  <c r="C23" i="57"/>
  <c r="C22" i="57"/>
  <c r="C21" i="57"/>
  <c r="C20" i="57"/>
  <c r="C16" i="57"/>
  <c r="C15" i="57"/>
  <c r="C14" i="57"/>
  <c r="C13" i="57"/>
  <c r="C90" i="39"/>
  <c r="C89" i="39"/>
  <c r="C88" i="39"/>
  <c r="C87" i="39"/>
  <c r="C86" i="39"/>
  <c r="C85" i="39"/>
  <c r="C81" i="39"/>
  <c r="C80" i="39"/>
  <c r="C70" i="39"/>
  <c r="C69" i="39"/>
  <c r="C68" i="39"/>
  <c r="C67" i="39"/>
  <c r="C66" i="39"/>
  <c r="C65" i="39"/>
  <c r="C37" i="39"/>
  <c r="C36" i="39"/>
  <c r="C35" i="39"/>
  <c r="C34" i="39"/>
  <c r="C33" i="39"/>
  <c r="C32" i="39"/>
  <c r="C31" i="39"/>
  <c r="C30" i="39"/>
  <c r="C25" i="39"/>
  <c r="C24" i="39"/>
  <c r="C23" i="39"/>
  <c r="C22" i="39"/>
  <c r="C21" i="39"/>
  <c r="C16" i="39"/>
  <c r="C15" i="39"/>
  <c r="C14" i="39"/>
  <c r="C13" i="39"/>
  <c r="C55" i="27"/>
  <c r="C54" i="27"/>
  <c r="C53" i="27"/>
  <c r="C52" i="27"/>
  <c r="C51" i="27"/>
  <c r="C50" i="27"/>
  <c r="C46" i="27"/>
  <c r="C45" i="27"/>
  <c r="C42" i="27"/>
  <c r="C41" i="27"/>
  <c r="C40" i="27"/>
  <c r="C39" i="27"/>
  <c r="C38" i="27"/>
  <c r="C37" i="27"/>
  <c r="C34" i="27"/>
  <c r="C33" i="27"/>
  <c r="C32" i="27"/>
  <c r="C31" i="27"/>
  <c r="C30" i="27"/>
  <c r="C29" i="27"/>
  <c r="C28" i="27"/>
  <c r="C27" i="27"/>
  <c r="C24" i="27"/>
  <c r="C23" i="27"/>
  <c r="C22" i="27"/>
  <c r="C21" i="27"/>
  <c r="C20" i="27"/>
  <c r="C16" i="27"/>
  <c r="C15" i="27"/>
  <c r="C14" i="27"/>
  <c r="C13" i="27"/>
  <c r="C72" i="78"/>
  <c r="C71" i="78"/>
  <c r="C70" i="78"/>
  <c r="C69" i="78"/>
  <c r="C68" i="78"/>
  <c r="C67" i="78"/>
  <c r="C61" i="78"/>
  <c r="C60" i="78"/>
  <c r="C57" i="78"/>
  <c r="C56" i="78"/>
  <c r="C55" i="78"/>
  <c r="C54" i="78"/>
  <c r="C53" i="78"/>
  <c r="C52" i="78"/>
  <c r="C39" i="78"/>
  <c r="C38" i="78"/>
  <c r="C37" i="78"/>
  <c r="C36" i="78"/>
  <c r="C35" i="78"/>
  <c r="C34" i="78"/>
  <c r="C33" i="78"/>
  <c r="C32" i="78"/>
  <c r="C26" i="78"/>
  <c r="C25" i="78"/>
  <c r="C24" i="78"/>
  <c r="C23" i="78"/>
  <c r="C22" i="78"/>
  <c r="C17" i="78"/>
  <c r="C16" i="78"/>
  <c r="C15" i="78"/>
  <c r="C14" i="78"/>
  <c r="C57" i="21"/>
  <c r="C56" i="21"/>
  <c r="C55" i="21"/>
  <c r="C54" i="21"/>
  <c r="C53" i="21"/>
  <c r="C48" i="21"/>
  <c r="C47" i="21"/>
  <c r="C44" i="21"/>
  <c r="C43" i="21"/>
  <c r="C42" i="21"/>
  <c r="C41" i="21"/>
  <c r="C40" i="21"/>
  <c r="C39" i="21"/>
  <c r="C36" i="21"/>
  <c r="C35" i="21"/>
  <c r="C34" i="21"/>
  <c r="C33" i="21"/>
  <c r="C32" i="21"/>
  <c r="C31" i="21"/>
  <c r="C30" i="21"/>
  <c r="C29" i="21"/>
  <c r="C25" i="21"/>
  <c r="C24" i="21"/>
  <c r="C23" i="21"/>
  <c r="C22" i="21"/>
  <c r="C21" i="21"/>
  <c r="C16" i="21"/>
  <c r="C15" i="21"/>
  <c r="C14" i="21"/>
  <c r="C13" i="21"/>
  <c r="C54" i="48"/>
  <c r="C53" i="48"/>
  <c r="C50" i="48"/>
  <c r="C49" i="48"/>
  <c r="C48" i="48"/>
  <c r="C47" i="48"/>
  <c r="C46" i="48"/>
  <c r="C42" i="48"/>
  <c r="C41" i="48"/>
  <c r="C40" i="48"/>
  <c r="C39" i="48"/>
  <c r="C38" i="48"/>
  <c r="C37" i="48"/>
  <c r="C34" i="48"/>
  <c r="C33" i="48"/>
  <c r="C32" i="48"/>
  <c r="C31" i="48"/>
  <c r="C30" i="48"/>
  <c r="C29" i="48"/>
  <c r="C28" i="48"/>
  <c r="C27" i="48"/>
  <c r="C24" i="48"/>
  <c r="C23" i="48"/>
  <c r="C22" i="48"/>
  <c r="C21" i="48"/>
  <c r="C20" i="48"/>
  <c r="C17" i="48"/>
  <c r="C16" i="48"/>
  <c r="C15" i="48"/>
  <c r="C14" i="48"/>
  <c r="C103" i="43"/>
  <c r="C102" i="43"/>
  <c r="C101" i="43"/>
  <c r="C100" i="43"/>
  <c r="C99" i="43"/>
  <c r="C98" i="43"/>
  <c r="C75" i="43"/>
  <c r="C74" i="43"/>
  <c r="C73" i="43"/>
  <c r="C72" i="43"/>
  <c r="C71" i="43"/>
  <c r="C70" i="43"/>
  <c r="C64" i="43"/>
  <c r="C63" i="43"/>
  <c r="C40" i="43"/>
  <c r="C39" i="43"/>
  <c r="C38" i="43"/>
  <c r="C37" i="43"/>
  <c r="C36" i="43"/>
  <c r="C35" i="43"/>
  <c r="C34" i="43"/>
  <c r="C33" i="43"/>
  <c r="C25" i="43"/>
  <c r="C24" i="43"/>
  <c r="C23" i="43"/>
  <c r="C22" i="43"/>
  <c r="C21" i="43"/>
  <c r="C16" i="43"/>
  <c r="C15" i="43"/>
  <c r="C14" i="43"/>
  <c r="C13" i="43"/>
  <c r="C78" i="26"/>
  <c r="C77" i="26"/>
  <c r="C76" i="26"/>
  <c r="C75" i="26"/>
  <c r="C74" i="26"/>
  <c r="C58" i="26"/>
  <c r="C57" i="26"/>
  <c r="C56" i="26"/>
  <c r="C55" i="26"/>
  <c r="C54" i="26"/>
  <c r="C53" i="26"/>
  <c r="C44" i="26"/>
  <c r="C43" i="26"/>
  <c r="C38" i="26"/>
  <c r="C37" i="26"/>
  <c r="C36" i="26"/>
  <c r="C35" i="26"/>
  <c r="C34" i="26"/>
  <c r="C33" i="26"/>
  <c r="C32" i="26"/>
  <c r="C31" i="26"/>
  <c r="C25" i="26"/>
  <c r="C24" i="26"/>
  <c r="C23" i="26"/>
  <c r="C22" i="26"/>
  <c r="C21" i="26"/>
  <c r="C16" i="26"/>
  <c r="C15" i="26"/>
  <c r="C14" i="26"/>
  <c r="C13" i="26"/>
  <c r="B93" i="11"/>
  <c r="B92" i="11"/>
  <c r="B91" i="11"/>
  <c r="B90" i="11"/>
  <c r="B89" i="11"/>
  <c r="B88" i="11"/>
  <c r="B81" i="11"/>
  <c r="B80" i="11"/>
  <c r="B79" i="11"/>
  <c r="B78" i="11"/>
  <c r="B77" i="11"/>
  <c r="B76" i="11"/>
  <c r="B53" i="11"/>
  <c r="B54" i="11"/>
  <c r="B55" i="11"/>
  <c r="B52" i="11"/>
  <c r="B51" i="11"/>
  <c r="B50" i="11"/>
  <c r="B49" i="11"/>
  <c r="B48" i="11"/>
  <c r="B32" i="11"/>
  <c r="B31" i="11"/>
  <c r="B30" i="11"/>
  <c r="B29" i="11"/>
  <c r="B28" i="11"/>
  <c r="B23" i="11"/>
  <c r="B22" i="11"/>
  <c r="B77" i="7"/>
  <c r="B76" i="7"/>
  <c r="B75" i="7"/>
  <c r="B74" i="7"/>
  <c r="B73" i="7"/>
  <c r="B72" i="7"/>
  <c r="B59" i="7"/>
  <c r="B58" i="7"/>
  <c r="B57" i="7"/>
  <c r="B56" i="7"/>
  <c r="B55" i="7"/>
  <c r="B54" i="7"/>
  <c r="B47" i="7"/>
  <c r="B46" i="7"/>
  <c r="B17" i="11"/>
  <c r="B16" i="11"/>
  <c r="B15" i="11"/>
  <c r="B14" i="11"/>
  <c r="B38" i="7"/>
  <c r="B37" i="7"/>
  <c r="B36" i="7"/>
  <c r="B35" i="7"/>
  <c r="B34" i="7"/>
  <c r="B33" i="7"/>
  <c r="B32" i="7"/>
  <c r="B31" i="7"/>
  <c r="B25" i="7"/>
  <c r="B24" i="7"/>
  <c r="B23" i="7"/>
  <c r="B22" i="7"/>
  <c r="B21" i="7"/>
  <c r="B16" i="7"/>
  <c r="B15" i="7"/>
  <c r="B14" i="7"/>
  <c r="B13" i="7"/>
  <c r="C14" i="63"/>
  <c r="C15" i="63"/>
  <c r="J24" i="57"/>
  <c r="J23" i="57"/>
  <c r="J22" i="57"/>
  <c r="J21" i="57"/>
  <c r="J20" i="57"/>
  <c r="K23" i="57"/>
  <c r="K24" i="57"/>
  <c r="J16" i="57"/>
  <c r="J15" i="57"/>
  <c r="J14" i="57"/>
  <c r="J13" i="57"/>
  <c r="K14" i="57"/>
  <c r="K15" i="57"/>
  <c r="K16" i="57"/>
  <c r="J90" i="39"/>
  <c r="J89" i="39"/>
  <c r="J88" i="39"/>
  <c r="J87" i="39"/>
  <c r="J86" i="39"/>
  <c r="J85" i="39"/>
  <c r="B89" i="39"/>
  <c r="B90" i="39" s="1"/>
  <c r="J81" i="39"/>
  <c r="J80" i="39"/>
  <c r="J70" i="39"/>
  <c r="J69" i="39"/>
  <c r="J68" i="39"/>
  <c r="J67" i="39"/>
  <c r="J66" i="39"/>
  <c r="J65" i="39"/>
  <c r="J37" i="39"/>
  <c r="J36" i="39"/>
  <c r="J35" i="39"/>
  <c r="J34" i="39"/>
  <c r="J33" i="39"/>
  <c r="J32" i="39"/>
  <c r="J31" i="39"/>
  <c r="J30" i="39"/>
  <c r="K44" i="39"/>
  <c r="K38" i="39"/>
  <c r="K39" i="39"/>
  <c r="K40" i="39"/>
  <c r="K41" i="39"/>
  <c r="K42" i="39"/>
  <c r="J25" i="39"/>
  <c r="J24" i="39"/>
  <c r="J23" i="39"/>
  <c r="J22" i="39"/>
  <c r="J21" i="39"/>
  <c r="J16" i="39"/>
  <c r="J15" i="39"/>
  <c r="J14" i="39"/>
  <c r="J13" i="39"/>
  <c r="C39" i="32"/>
  <c r="C37" i="32"/>
  <c r="C35" i="32"/>
  <c r="C33" i="32"/>
  <c r="C31" i="32"/>
  <c r="C29" i="32"/>
  <c r="C27" i="32"/>
  <c r="C25" i="32"/>
  <c r="J55" i="27"/>
  <c r="K55" i="27" s="1"/>
  <c r="J54" i="27"/>
  <c r="K54" i="27" s="1"/>
  <c r="J53" i="27"/>
  <c r="K53" i="27" s="1"/>
  <c r="J52" i="27"/>
  <c r="J51" i="27"/>
  <c r="J50" i="27"/>
  <c r="C23" i="32"/>
  <c r="J46" i="27"/>
  <c r="J45" i="27"/>
  <c r="C21" i="32"/>
  <c r="C19" i="32"/>
  <c r="J42" i="27"/>
  <c r="J41" i="27"/>
  <c r="K41" i="27" s="1"/>
  <c r="J40" i="27"/>
  <c r="K40" i="27" s="1"/>
  <c r="J39" i="27"/>
  <c r="K39" i="27" s="1"/>
  <c r="J38" i="27"/>
  <c r="J37" i="27"/>
  <c r="K42" i="27"/>
  <c r="J34" i="27"/>
  <c r="J33" i="27"/>
  <c r="J32" i="27"/>
  <c r="J31" i="27"/>
  <c r="J30" i="27"/>
  <c r="J29" i="27"/>
  <c r="J28" i="27"/>
  <c r="J27" i="27"/>
  <c r="C17" i="32"/>
  <c r="C15" i="32"/>
  <c r="J24" i="27"/>
  <c r="J23" i="27"/>
  <c r="J22" i="27"/>
  <c r="J21" i="27"/>
  <c r="J20" i="27"/>
  <c r="K23" i="27"/>
  <c r="K24" i="27"/>
  <c r="J16" i="27"/>
  <c r="J15" i="27"/>
  <c r="J14" i="27"/>
  <c r="J13" i="27"/>
  <c r="C27" i="77"/>
  <c r="C26" i="77"/>
  <c r="C25" i="77"/>
  <c r="C24" i="77"/>
  <c r="C23" i="77"/>
  <c r="C22" i="77"/>
  <c r="C21" i="77"/>
  <c r="C20" i="77"/>
  <c r="C19" i="77"/>
  <c r="C18" i="77"/>
  <c r="J72" i="78"/>
  <c r="J71" i="78"/>
  <c r="J70" i="78"/>
  <c r="J69" i="78"/>
  <c r="J68" i="78"/>
  <c r="J67" i="78"/>
  <c r="J61" i="78"/>
  <c r="J60" i="78"/>
  <c r="C17" i="77"/>
  <c r="J57" i="78"/>
  <c r="J56" i="78"/>
  <c r="J55" i="78"/>
  <c r="J54" i="78"/>
  <c r="J53" i="78"/>
  <c r="J52" i="78"/>
  <c r="K55" i="78"/>
  <c r="K56" i="78"/>
  <c r="K57" i="78"/>
  <c r="B55" i="78"/>
  <c r="B56" i="78"/>
  <c r="B57" i="78" s="1"/>
  <c r="C16" i="77"/>
  <c r="C15" i="77"/>
  <c r="C14" i="77"/>
  <c r="J26" i="78"/>
  <c r="J25" i="78"/>
  <c r="J24" i="78"/>
  <c r="J23" i="78"/>
  <c r="J22" i="78"/>
  <c r="J39" i="78"/>
  <c r="J38" i="78"/>
  <c r="J37" i="78"/>
  <c r="J36" i="78"/>
  <c r="J35" i="78"/>
  <c r="J34" i="78"/>
  <c r="J33" i="78"/>
  <c r="J32" i="78"/>
  <c r="J17" i="78"/>
  <c r="J16" i="78"/>
  <c r="J15" i="78"/>
  <c r="J14" i="78"/>
  <c r="J57" i="21"/>
  <c r="J56" i="21"/>
  <c r="J55" i="21"/>
  <c r="J54" i="21"/>
  <c r="J53" i="21"/>
  <c r="J52" i="21"/>
  <c r="K57" i="21"/>
  <c r="C52" i="21"/>
  <c r="J48" i="21"/>
  <c r="J47" i="21"/>
  <c r="C17" i="68"/>
  <c r="J44" i="21"/>
  <c r="J43" i="21"/>
  <c r="K43" i="21" s="1"/>
  <c r="J42" i="21"/>
  <c r="K42" i="21" s="1"/>
  <c r="J41" i="21"/>
  <c r="K41" i="21" s="1"/>
  <c r="J40" i="21"/>
  <c r="J39" i="21"/>
  <c r="K44" i="21"/>
  <c r="J36" i="21"/>
  <c r="J35" i="21"/>
  <c r="J34" i="21"/>
  <c r="J33" i="21"/>
  <c r="J32" i="21"/>
  <c r="J31" i="21"/>
  <c r="J30" i="21"/>
  <c r="J29" i="21"/>
  <c r="K32" i="21"/>
  <c r="K33" i="21"/>
  <c r="K34" i="21"/>
  <c r="K35" i="21"/>
  <c r="K36" i="21"/>
  <c r="J25" i="21"/>
  <c r="J24" i="21"/>
  <c r="J23" i="21"/>
  <c r="J22" i="21"/>
  <c r="J21" i="21"/>
  <c r="J16" i="21"/>
  <c r="J15" i="21"/>
  <c r="J14" i="21"/>
  <c r="J13" i="21"/>
  <c r="J54" i="48"/>
  <c r="J53" i="48"/>
  <c r="J50" i="48"/>
  <c r="K50" i="48" s="1"/>
  <c r="J49" i="48"/>
  <c r="K49" i="48" s="1"/>
  <c r="J48" i="48"/>
  <c r="J47" i="48"/>
  <c r="K47" i="48" s="1"/>
  <c r="J46" i="48"/>
  <c r="J45" i="48"/>
  <c r="K48" i="48"/>
  <c r="C45" i="48"/>
  <c r="B47" i="48"/>
  <c r="B48" i="48"/>
  <c r="B49" i="48" s="1"/>
  <c r="B50" i="48" s="1"/>
  <c r="J42" i="48"/>
  <c r="J41" i="48"/>
  <c r="J40" i="48"/>
  <c r="J39" i="48"/>
  <c r="K39" i="48" s="1"/>
  <c r="J38" i="48"/>
  <c r="J37" i="48"/>
  <c r="K40" i="48"/>
  <c r="K41" i="48"/>
  <c r="K42" i="48"/>
  <c r="J34" i="48"/>
  <c r="J33" i="48"/>
  <c r="J32" i="48"/>
  <c r="J31" i="48"/>
  <c r="J30" i="48"/>
  <c r="J29" i="48"/>
  <c r="J28" i="48"/>
  <c r="J27" i="48"/>
  <c r="J24" i="48"/>
  <c r="K24" i="48" s="1"/>
  <c r="J23" i="48"/>
  <c r="K23" i="48" s="1"/>
  <c r="J22" i="48"/>
  <c r="K22" i="48" s="1"/>
  <c r="J21" i="48"/>
  <c r="J20" i="48"/>
  <c r="J17" i="48"/>
  <c r="J16" i="48"/>
  <c r="J15" i="48"/>
  <c r="J14" i="48"/>
  <c r="K15" i="48"/>
  <c r="K16" i="48"/>
  <c r="K17" i="48"/>
  <c r="C26" i="42"/>
  <c r="C25" i="42"/>
  <c r="C24" i="42"/>
  <c r="C23" i="42"/>
  <c r="C22" i="42"/>
  <c r="C21" i="42"/>
  <c r="C20" i="42"/>
  <c r="C19" i="42"/>
  <c r="C18" i="42"/>
  <c r="C17" i="42"/>
  <c r="C16" i="42"/>
  <c r="C15" i="42"/>
  <c r="C14" i="42"/>
  <c r="J103" i="43"/>
  <c r="J102" i="43"/>
  <c r="J98" i="43"/>
  <c r="B101" i="43"/>
  <c r="B102" i="43"/>
  <c r="B103" i="43" s="1"/>
  <c r="B104" i="43" s="1"/>
  <c r="B105" i="43" s="1"/>
  <c r="J64" i="43"/>
  <c r="J63" i="43"/>
  <c r="J75" i="43"/>
  <c r="J74" i="43"/>
  <c r="J73" i="43"/>
  <c r="J72" i="43"/>
  <c r="J71" i="43"/>
  <c r="J70" i="43"/>
  <c r="J40" i="43"/>
  <c r="J39" i="43"/>
  <c r="J38" i="43"/>
  <c r="J37" i="43"/>
  <c r="J36" i="43"/>
  <c r="J35" i="43"/>
  <c r="J34" i="43"/>
  <c r="J33" i="43"/>
  <c r="J25" i="43"/>
  <c r="J24" i="43"/>
  <c r="J23" i="43"/>
  <c r="J22" i="43"/>
  <c r="J21" i="43"/>
  <c r="J16" i="43"/>
  <c r="J15" i="43"/>
  <c r="J14" i="43"/>
  <c r="J13" i="43"/>
  <c r="C26" i="33"/>
  <c r="C25" i="33"/>
  <c r="C24" i="33"/>
  <c r="C23" i="33"/>
  <c r="C22" i="33"/>
  <c r="C21" i="33"/>
  <c r="C20" i="33"/>
  <c r="C19" i="33"/>
  <c r="C18" i="33"/>
  <c r="C17" i="33"/>
  <c r="C16" i="33"/>
  <c r="C15" i="33"/>
  <c r="C14" i="33"/>
  <c r="J78" i="26"/>
  <c r="J77" i="26"/>
  <c r="J76" i="26"/>
  <c r="J101" i="43" s="1"/>
  <c r="J75" i="26"/>
  <c r="J100" i="43" s="1"/>
  <c r="J74" i="26"/>
  <c r="J99" i="43" s="1"/>
  <c r="J73" i="26"/>
  <c r="C73" i="26"/>
  <c r="J58" i="26"/>
  <c r="J57" i="26"/>
  <c r="J56" i="26"/>
  <c r="J55" i="26"/>
  <c r="J54" i="26"/>
  <c r="J53" i="26"/>
  <c r="J44" i="26"/>
  <c r="J43" i="26"/>
  <c r="J25" i="26"/>
  <c r="J24" i="26"/>
  <c r="J23" i="26"/>
  <c r="J22" i="26"/>
  <c r="J21" i="26"/>
  <c r="K16" i="26"/>
  <c r="K15" i="26"/>
  <c r="K14" i="26"/>
  <c r="K13" i="26"/>
  <c r="K19" i="26" s="1"/>
  <c r="I93" i="11"/>
  <c r="I92" i="11"/>
  <c r="I91" i="11"/>
  <c r="I90" i="11"/>
  <c r="I89" i="11"/>
  <c r="I88" i="11"/>
  <c r="I81" i="11"/>
  <c r="I80" i="11"/>
  <c r="I79" i="11"/>
  <c r="I78" i="11"/>
  <c r="I77" i="11"/>
  <c r="I76" i="11"/>
  <c r="J79" i="11"/>
  <c r="I59" i="7"/>
  <c r="I58" i="7"/>
  <c r="I57" i="7"/>
  <c r="I56" i="7"/>
  <c r="I55" i="7"/>
  <c r="I54" i="7"/>
  <c r="H25" i="10"/>
  <c r="H24" i="10"/>
  <c r="C25" i="10"/>
  <c r="C24" i="10"/>
  <c r="C23" i="10"/>
  <c r="C22" i="10"/>
  <c r="C21" i="10"/>
  <c r="C20" i="10"/>
  <c r="C19" i="10"/>
  <c r="C18" i="10"/>
  <c r="C17" i="10"/>
  <c r="C16" i="10"/>
  <c r="C15" i="10"/>
  <c r="C14" i="10"/>
  <c r="I55" i="11"/>
  <c r="J38" i="26" s="1"/>
  <c r="I54" i="11"/>
  <c r="J37" i="26" s="1"/>
  <c r="I53" i="11"/>
  <c r="J36" i="26" s="1"/>
  <c r="I52" i="11"/>
  <c r="J35" i="26" s="1"/>
  <c r="I51" i="11"/>
  <c r="J34" i="26" s="1"/>
  <c r="I50" i="11"/>
  <c r="J33" i="26" s="1"/>
  <c r="I49" i="11"/>
  <c r="J32" i="26" s="1"/>
  <c r="I48" i="11"/>
  <c r="J31" i="26" s="1"/>
  <c r="I23" i="11"/>
  <c r="I22" i="11"/>
  <c r="I32" i="11"/>
  <c r="I31" i="11"/>
  <c r="I30" i="11"/>
  <c r="I29" i="11"/>
  <c r="I28" i="11"/>
  <c r="I17" i="11"/>
  <c r="I16" i="11"/>
  <c r="I15" i="11"/>
  <c r="I14" i="11"/>
  <c r="I47" i="7"/>
  <c r="I46" i="7"/>
  <c r="I77" i="7"/>
  <c r="I76" i="7"/>
  <c r="I75" i="7"/>
  <c r="J75" i="7" s="1"/>
  <c r="I74" i="7"/>
  <c r="I73" i="7"/>
  <c r="I72" i="7"/>
  <c r="I38" i="7"/>
  <c r="I37" i="7"/>
  <c r="I36" i="7"/>
  <c r="I35" i="7"/>
  <c r="I34" i="7"/>
  <c r="I33" i="7"/>
  <c r="I32" i="7"/>
  <c r="I31" i="7"/>
  <c r="I25" i="7"/>
  <c r="I24" i="7"/>
  <c r="I23" i="7"/>
  <c r="I22" i="7"/>
  <c r="I21" i="7"/>
  <c r="I16" i="7"/>
  <c r="I15" i="7"/>
  <c r="I14" i="7"/>
  <c r="I13" i="7"/>
  <c r="I42" i="13"/>
  <c r="I28" i="13"/>
  <c r="I27" i="13"/>
  <c r="I43" i="13" s="1"/>
  <c r="I41" i="13" s="1"/>
  <c r="I26" i="13"/>
  <c r="I25" i="13"/>
  <c r="I24" i="13"/>
  <c r="I21" i="13"/>
  <c r="I20" i="13"/>
  <c r="I19" i="13"/>
  <c r="I15" i="13"/>
  <c r="I16" i="13" s="1"/>
  <c r="J21" i="15"/>
  <c r="J20" i="15"/>
  <c r="J15" i="15"/>
  <c r="I57" i="15"/>
  <c r="I49" i="15"/>
  <c r="I48" i="15"/>
  <c r="I47" i="15"/>
  <c r="I44" i="15"/>
  <c r="I43" i="15"/>
  <c r="I42" i="15"/>
  <c r="I38" i="15"/>
  <c r="I37" i="15"/>
  <c r="I34" i="15"/>
  <c r="I33" i="15"/>
  <c r="I32" i="15"/>
  <c r="I29" i="15"/>
  <c r="I28" i="15"/>
  <c r="I27" i="15"/>
  <c r="I26" i="15"/>
  <c r="I25" i="15"/>
  <c r="I21" i="15"/>
  <c r="I20" i="15"/>
  <c r="I17" i="15"/>
  <c r="I16" i="15"/>
  <c r="I15" i="15"/>
  <c r="K51" i="57" l="1"/>
  <c r="K51" i="58"/>
  <c r="K48" i="39"/>
  <c r="K47" i="39"/>
  <c r="K46" i="39"/>
  <c r="K45" i="39"/>
  <c r="K43" i="39"/>
  <c r="K133" i="78"/>
  <c r="K132" i="78"/>
  <c r="K131" i="78"/>
  <c r="K130" i="78"/>
  <c r="B130" i="78"/>
  <c r="B131" i="78" s="1"/>
  <c r="B132" i="78" s="1"/>
  <c r="B133" i="78" s="1"/>
  <c r="K129" i="78"/>
  <c r="K118" i="78"/>
  <c r="H25" i="77" s="1"/>
  <c r="K104" i="78"/>
  <c r="K103" i="78"/>
  <c r="K102" i="78"/>
  <c r="B102" i="78"/>
  <c r="B103" i="78" s="1"/>
  <c r="B104" i="78" s="1"/>
  <c r="K101" i="78"/>
  <c r="K97" i="78"/>
  <c r="K96" i="78"/>
  <c r="K93" i="78"/>
  <c r="K92" i="78"/>
  <c r="B92" i="78"/>
  <c r="B93" i="78" s="1"/>
  <c r="B94" i="78" s="1"/>
  <c r="B95" i="78" s="1"/>
  <c r="B96" i="78" s="1"/>
  <c r="B97" i="78" s="1"/>
  <c r="K91" i="78"/>
  <c r="K87" i="78"/>
  <c r="K86" i="78"/>
  <c r="K85" i="78"/>
  <c r="K83" i="78"/>
  <c r="B82" i="78"/>
  <c r="B83" i="78" s="1"/>
  <c r="B85" i="78" s="1"/>
  <c r="B86" i="78" s="1"/>
  <c r="B87" i="78" s="1"/>
  <c r="K81" i="78"/>
  <c r="K73" i="78"/>
  <c r="K72" i="78"/>
  <c r="K71" i="78"/>
  <c r="I70" i="78"/>
  <c r="K70" i="78" s="1"/>
  <c r="K68" i="78"/>
  <c r="B68" i="78"/>
  <c r="B69" i="78" s="1"/>
  <c r="B70" i="78" s="1"/>
  <c r="B71" i="78" s="1"/>
  <c r="B72" i="78" s="1"/>
  <c r="B73" i="78" s="1"/>
  <c r="K67" i="78"/>
  <c r="K63" i="78"/>
  <c r="K62" i="78"/>
  <c r="K61" i="78"/>
  <c r="B61" i="78"/>
  <c r="B62" i="78" s="1"/>
  <c r="B63" i="78" s="1"/>
  <c r="K54" i="78"/>
  <c r="K53" i="78"/>
  <c r="B53" i="78"/>
  <c r="B54" i="78" s="1"/>
  <c r="K48" i="78"/>
  <c r="K47" i="78"/>
  <c r="K46" i="78"/>
  <c r="K41" i="78"/>
  <c r="K40" i="78"/>
  <c r="K39" i="78"/>
  <c r="K37" i="78"/>
  <c r="K33" i="78"/>
  <c r="B33" i="78"/>
  <c r="B34" i="78" s="1"/>
  <c r="B35" i="78" s="1"/>
  <c r="B36" i="78" s="1"/>
  <c r="B37" i="78" s="1"/>
  <c r="B38" i="78" s="1"/>
  <c r="B39" i="78" s="1"/>
  <c r="B40" i="78" s="1"/>
  <c r="B41" i="78" s="1"/>
  <c r="B42" i="78" s="1"/>
  <c r="B43" i="78" s="1"/>
  <c r="B44" i="78" s="1"/>
  <c r="B45" i="78" s="1"/>
  <c r="B46" i="78" s="1"/>
  <c r="B47" i="78" s="1"/>
  <c r="B48" i="78" s="1"/>
  <c r="K32" i="78"/>
  <c r="K28" i="78"/>
  <c r="K27" i="78"/>
  <c r="K26" i="78"/>
  <c r="K25" i="78"/>
  <c r="K24" i="78"/>
  <c r="K23" i="78"/>
  <c r="B23" i="78"/>
  <c r="B24" i="78" s="1"/>
  <c r="B25" i="78" s="1"/>
  <c r="B26" i="78" s="1"/>
  <c r="B27" i="78" s="1"/>
  <c r="B28" i="78" s="1"/>
  <c r="K22" i="78"/>
  <c r="K18" i="78"/>
  <c r="K17" i="78"/>
  <c r="K16" i="78"/>
  <c r="K15" i="78"/>
  <c r="B15" i="78"/>
  <c r="B16" i="78" s="1"/>
  <c r="B17" i="78" s="1"/>
  <c r="B18" i="78" s="1"/>
  <c r="K14" i="78"/>
  <c r="C13" i="77"/>
  <c r="K36" i="58" l="1"/>
  <c r="K34" i="58"/>
  <c r="K52" i="78"/>
  <c r="K58" i="78" s="1"/>
  <c r="K94" i="78"/>
  <c r="K95" i="78"/>
  <c r="K82" i="78"/>
  <c r="K89" i="78" s="1"/>
  <c r="H21" i="77" s="1"/>
  <c r="K34" i="78"/>
  <c r="K30" i="78"/>
  <c r="H15" i="77" s="1"/>
  <c r="H17" i="77"/>
  <c r="K45" i="78"/>
  <c r="K36" i="78"/>
  <c r="K38" i="78"/>
  <c r="K106" i="78"/>
  <c r="H23" i="77" s="1"/>
  <c r="K135" i="78"/>
  <c r="H27" i="77" s="1"/>
  <c r="K60" i="78"/>
  <c r="K42" i="78"/>
  <c r="K35" i="78"/>
  <c r="K127" i="78"/>
  <c r="H26" i="77" s="1"/>
  <c r="K69" i="78"/>
  <c r="K108" i="78"/>
  <c r="K20" i="78"/>
  <c r="H14" i="77" s="1"/>
  <c r="H18" i="77" l="1"/>
  <c r="K65" i="78"/>
  <c r="K75" i="78"/>
  <c r="H19" i="77" s="1"/>
  <c r="K99" i="78"/>
  <c r="H22" i="77" s="1"/>
  <c r="I109" i="78"/>
  <c r="K109" i="78" s="1"/>
  <c r="K77" i="78"/>
  <c r="K79" i="78" s="1"/>
  <c r="H20" i="77" s="1"/>
  <c r="K111" i="78"/>
  <c r="H24" i="77" s="1"/>
  <c r="K44" i="78"/>
  <c r="K43" i="78"/>
  <c r="K50" i="78" l="1"/>
  <c r="K139" i="78" s="1"/>
  <c r="H16" i="77" l="1"/>
  <c r="H29" i="77" s="1"/>
  <c r="G20" i="3" s="1"/>
  <c r="K49" i="60"/>
  <c r="K75" i="19"/>
  <c r="C61" i="19"/>
  <c r="C60" i="19"/>
  <c r="K79" i="69"/>
  <c r="K80" i="69"/>
  <c r="K81" i="69"/>
  <c r="K82" i="69"/>
  <c r="I83" i="69"/>
  <c r="K83" i="69" s="1"/>
  <c r="I84" i="69"/>
  <c r="K84" i="69" s="1"/>
  <c r="B80" i="69"/>
  <c r="B81" i="69" s="1"/>
  <c r="B82" i="69" s="1"/>
  <c r="B83" i="69" s="1"/>
  <c r="B84" i="69" s="1"/>
  <c r="B129" i="39"/>
  <c r="B130" i="39" s="1"/>
  <c r="B131" i="39" s="1"/>
  <c r="B132" i="39" s="1"/>
  <c r="B133" i="39" s="1"/>
  <c r="H29" i="75" l="1"/>
  <c r="G34" i="3" s="1"/>
  <c r="C13" i="75"/>
  <c r="C13" i="70" l="1"/>
  <c r="B63" i="69"/>
  <c r="B64" i="69" s="1"/>
  <c r="B62" i="69"/>
  <c r="B37" i="69"/>
  <c r="J69" i="69"/>
  <c r="I69" i="69"/>
  <c r="K14" i="69"/>
  <c r="B15" i="69"/>
  <c r="K15" i="69"/>
  <c r="I19" i="69"/>
  <c r="K19" i="69" s="1"/>
  <c r="B20" i="69"/>
  <c r="B21" i="69" s="1"/>
  <c r="I20" i="69"/>
  <c r="J20" i="69"/>
  <c r="I21" i="69"/>
  <c r="J21" i="69"/>
  <c r="I25" i="69"/>
  <c r="J26" i="69"/>
  <c r="I26" i="69"/>
  <c r="B27" i="69"/>
  <c r="I27" i="69"/>
  <c r="I31" i="69"/>
  <c r="B32" i="69"/>
  <c r="K32" i="69"/>
  <c r="K37" i="69"/>
  <c r="K41" i="69"/>
  <c r="B42" i="69"/>
  <c r="B43" i="69" s="1"/>
  <c r="I42" i="69"/>
  <c r="K43" i="69"/>
  <c r="I47" i="69"/>
  <c r="I51" i="69"/>
  <c r="I52" i="69" s="1"/>
  <c r="K55" i="69"/>
  <c r="K56" i="69"/>
  <c r="K57" i="69"/>
  <c r="K61" i="69"/>
  <c r="K62" i="69"/>
  <c r="K63" i="69"/>
  <c r="K64" i="69"/>
  <c r="K88" i="69"/>
  <c r="K89" i="69"/>
  <c r="B90" i="69"/>
  <c r="K90" i="69"/>
  <c r="K66" i="69" l="1"/>
  <c r="H22" i="70" s="1"/>
  <c r="K86" i="69"/>
  <c r="H25" i="70" s="1"/>
  <c r="K69" i="69"/>
  <c r="K20" i="69"/>
  <c r="K47" i="69"/>
  <c r="K49" i="69" s="1"/>
  <c r="H20" i="70" s="1"/>
  <c r="K25" i="69"/>
  <c r="K42" i="69"/>
  <c r="K45" i="69" s="1"/>
  <c r="H19" i="70" s="1"/>
  <c r="K51" i="69"/>
  <c r="K92" i="69"/>
  <c r="H26" i="70" s="1"/>
  <c r="K17" i="69"/>
  <c r="H14" i="70" s="1"/>
  <c r="K52" i="69"/>
  <c r="K31" i="69"/>
  <c r="K34" i="69" s="1"/>
  <c r="H17" i="70" s="1"/>
  <c r="K21" i="69"/>
  <c r="K26" i="69"/>
  <c r="J27" i="69"/>
  <c r="K27" i="69" s="1"/>
  <c r="K77" i="69"/>
  <c r="H24" i="70" s="1"/>
  <c r="I53" i="69"/>
  <c r="K53" i="69" s="1"/>
  <c r="I36" i="69"/>
  <c r="K59" i="69" l="1"/>
  <c r="H21" i="70" s="1"/>
  <c r="K23" i="69"/>
  <c r="H15" i="70" s="1"/>
  <c r="K29" i="69"/>
  <c r="H16" i="70" s="1"/>
  <c r="K36" i="69"/>
  <c r="I68" i="69"/>
  <c r="K68" i="69" s="1"/>
  <c r="K39" i="69" l="1"/>
  <c r="H18" i="70" s="1"/>
  <c r="K71" i="69"/>
  <c r="H23" i="70" s="1"/>
  <c r="H28" i="70" l="1"/>
  <c r="G27" i="3" s="1"/>
  <c r="K95" i="69"/>
  <c r="K80" i="21" l="1"/>
  <c r="C26" i="68"/>
  <c r="C25" i="68"/>
  <c r="C24" i="68"/>
  <c r="C23" i="68"/>
  <c r="C22" i="68"/>
  <c r="C21" i="68"/>
  <c r="C20" i="68"/>
  <c r="C19" i="68"/>
  <c r="C18" i="68"/>
  <c r="C16" i="68"/>
  <c r="C15" i="68"/>
  <c r="C14" i="68" l="1"/>
  <c r="C13" i="68"/>
  <c r="B69" i="21"/>
  <c r="B70" i="21" s="1"/>
  <c r="B71" i="21" s="1"/>
  <c r="B72" i="21" s="1"/>
  <c r="K61" i="21"/>
  <c r="B61" i="21"/>
  <c r="I85" i="21"/>
  <c r="K108" i="21"/>
  <c r="K107" i="21"/>
  <c r="C16" i="67"/>
  <c r="C17" i="67"/>
  <c r="C13" i="67"/>
  <c r="I32" i="61"/>
  <c r="J29" i="61"/>
  <c r="J27" i="61"/>
  <c r="I26" i="61"/>
  <c r="I8" i="60"/>
  <c r="C19" i="66"/>
  <c r="C18" i="66"/>
  <c r="C17" i="66"/>
  <c r="C13" i="66"/>
  <c r="I38" i="60"/>
  <c r="I41" i="60" s="1"/>
  <c r="B24" i="60"/>
  <c r="C13" i="65"/>
  <c r="B62" i="59"/>
  <c r="B63" i="59" s="1"/>
  <c r="B64" i="59" s="1"/>
  <c r="B65" i="59" s="1"/>
  <c r="B66" i="59" s="1"/>
  <c r="B38" i="59"/>
  <c r="K57" i="59"/>
  <c r="K56" i="59"/>
  <c r="K94" i="59"/>
  <c r="K93" i="59"/>
  <c r="K92" i="59"/>
  <c r="K91" i="59"/>
  <c r="B91" i="59"/>
  <c r="B92" i="59" s="1"/>
  <c r="B93" i="59" s="1"/>
  <c r="B94" i="59" s="1"/>
  <c r="K90" i="59"/>
  <c r="I44" i="59"/>
  <c r="I43" i="59"/>
  <c r="I42" i="59"/>
  <c r="I8" i="58"/>
  <c r="C13" i="64"/>
  <c r="K102" i="58"/>
  <c r="K101" i="58"/>
  <c r="K100" i="58"/>
  <c r="K99" i="58"/>
  <c r="K98" i="58"/>
  <c r="K85" i="58"/>
  <c r="K84" i="58"/>
  <c r="B84" i="58"/>
  <c r="B85" i="58" s="1"/>
  <c r="K83" i="58"/>
  <c r="J79" i="58"/>
  <c r="J74" i="58"/>
  <c r="B68" i="58"/>
  <c r="B69" i="58" s="1"/>
  <c r="B70" i="58" s="1"/>
  <c r="B68" i="57"/>
  <c r="B69" i="57" s="1"/>
  <c r="B70" i="57" s="1"/>
  <c r="B50" i="58"/>
  <c r="I8" i="57"/>
  <c r="C13" i="63"/>
  <c r="B49" i="57"/>
  <c r="K94" i="21" l="1"/>
  <c r="H24" i="68" s="1"/>
  <c r="K103" i="21"/>
  <c r="H25" i="68" s="1"/>
  <c r="K79" i="59"/>
  <c r="H24" i="65" s="1"/>
  <c r="K96" i="59"/>
  <c r="H26" i="65" s="1"/>
  <c r="K88" i="59"/>
  <c r="H25" i="65" s="1"/>
  <c r="K13" i="61"/>
  <c r="I17" i="61"/>
  <c r="K17" i="61" s="1"/>
  <c r="I18" i="61"/>
  <c r="K18" i="61" s="1"/>
  <c r="I19" i="61"/>
  <c r="K19" i="61" s="1"/>
  <c r="I20" i="61"/>
  <c r="K20" i="61" s="1"/>
  <c r="I21" i="61"/>
  <c r="I22" i="61"/>
  <c r="K22" i="61"/>
  <c r="B27" i="61"/>
  <c r="B28" i="61" s="1"/>
  <c r="B29" i="61" s="1"/>
  <c r="B30" i="61" s="1"/>
  <c r="B31" i="61" s="1"/>
  <c r="B32" i="61" s="1"/>
  <c r="B33" i="61" s="1"/>
  <c r="B34" i="61" s="1"/>
  <c r="I27" i="61"/>
  <c r="I28" i="61"/>
  <c r="I29" i="61"/>
  <c r="K29" i="61" s="1"/>
  <c r="I30" i="61"/>
  <c r="K30" i="61" s="1"/>
  <c r="I31" i="61"/>
  <c r="K32" i="61"/>
  <c r="I33" i="61"/>
  <c r="K33" i="61" s="1"/>
  <c r="I34" i="61"/>
  <c r="K34" i="61" s="1"/>
  <c r="I38" i="61"/>
  <c r="K38" i="61" s="1"/>
  <c r="K40" i="61" s="1"/>
  <c r="H17" i="67" s="1"/>
  <c r="K13" i="60"/>
  <c r="I17" i="60"/>
  <c r="K17" i="60" s="1"/>
  <c r="B18" i="60"/>
  <c r="B19" i="60" s="1"/>
  <c r="I18" i="60"/>
  <c r="K18" i="60" s="1"/>
  <c r="I19" i="60"/>
  <c r="I23" i="60"/>
  <c r="K23" i="60" s="1"/>
  <c r="K24" i="60"/>
  <c r="K28" i="60"/>
  <c r="B29" i="60"/>
  <c r="K29" i="60"/>
  <c r="I33" i="60"/>
  <c r="K33" i="60" s="1"/>
  <c r="B34" i="60"/>
  <c r="K38" i="60"/>
  <c r="I40" i="60"/>
  <c r="K40" i="60" s="1"/>
  <c r="K13" i="59"/>
  <c r="K15" i="59" s="1"/>
  <c r="H14" i="65" s="1"/>
  <c r="I17" i="59"/>
  <c r="K17" i="59" s="1"/>
  <c r="B18" i="59"/>
  <c r="B19" i="59" s="1"/>
  <c r="B20" i="59" s="1"/>
  <c r="B21" i="59" s="1"/>
  <c r="I18" i="59"/>
  <c r="J18" i="59"/>
  <c r="I19" i="59"/>
  <c r="K19" i="59" s="1"/>
  <c r="I20" i="59"/>
  <c r="J20" i="59"/>
  <c r="I21" i="59"/>
  <c r="I25" i="59"/>
  <c r="B26" i="59"/>
  <c r="B27" i="59" s="1"/>
  <c r="B28" i="59" s="1"/>
  <c r="I26" i="59"/>
  <c r="I27" i="59"/>
  <c r="K28" i="59"/>
  <c r="K32" i="59"/>
  <c r="B33" i="59"/>
  <c r="J33" i="59"/>
  <c r="K33" i="59" s="1"/>
  <c r="I37" i="59"/>
  <c r="K37" i="59" s="1"/>
  <c r="K38" i="59"/>
  <c r="K42" i="59"/>
  <c r="B43" i="59"/>
  <c r="B44" i="59" s="1"/>
  <c r="B45" i="59" s="1"/>
  <c r="K43" i="59"/>
  <c r="K44" i="59"/>
  <c r="K45" i="59"/>
  <c r="I49" i="59"/>
  <c r="J49" i="59"/>
  <c r="K53" i="59"/>
  <c r="I54" i="59"/>
  <c r="J55" i="59"/>
  <c r="K55" i="59" s="1"/>
  <c r="K61" i="59"/>
  <c r="K63" i="59"/>
  <c r="K64" i="59"/>
  <c r="K65" i="59"/>
  <c r="K66" i="59"/>
  <c r="J71" i="59"/>
  <c r="B14" i="58"/>
  <c r="K14" i="58"/>
  <c r="K21" i="58"/>
  <c r="B22" i="58"/>
  <c r="B23" i="58" s="1"/>
  <c r="B24" i="58" s="1"/>
  <c r="B25" i="58" s="1"/>
  <c r="B31" i="58"/>
  <c r="B32" i="58" s="1"/>
  <c r="B33" i="58" s="1"/>
  <c r="B34" i="58" s="1"/>
  <c r="B35" i="58" s="1"/>
  <c r="B36" i="58" s="1"/>
  <c r="I49" i="58"/>
  <c r="K59" i="58"/>
  <c r="B59" i="58"/>
  <c r="K74" i="58"/>
  <c r="B99" i="58"/>
  <c r="B100" i="58" s="1"/>
  <c r="B101" i="58" s="1"/>
  <c r="B102" i="58" s="1"/>
  <c r="K13" i="57"/>
  <c r="K18" i="57" s="1"/>
  <c r="K20" i="57"/>
  <c r="B21" i="57"/>
  <c r="B22" i="57" s="1"/>
  <c r="B23" i="57" s="1"/>
  <c r="B24" i="57" s="1"/>
  <c r="B30" i="57"/>
  <c r="B31" i="57" s="1"/>
  <c r="B32" i="57" s="1"/>
  <c r="B33" i="57" s="1"/>
  <c r="B34" i="57" s="1"/>
  <c r="B35" i="57" s="1"/>
  <c r="I48" i="57"/>
  <c r="K58" i="57"/>
  <c r="B58" i="57"/>
  <c r="I79" i="57"/>
  <c r="J63" i="58"/>
  <c r="K74" i="57"/>
  <c r="K76" i="57" s="1"/>
  <c r="H22" i="63" s="1"/>
  <c r="J78" i="58"/>
  <c r="K83" i="57"/>
  <c r="B84" i="57"/>
  <c r="B85" i="57" s="1"/>
  <c r="K84" i="57"/>
  <c r="K85" i="57"/>
  <c r="K96" i="57"/>
  <c r="H25" i="63" s="1"/>
  <c r="K98" i="57"/>
  <c r="B99" i="57"/>
  <c r="B100" i="57" s="1"/>
  <c r="B101" i="57" s="1"/>
  <c r="B102" i="57" s="1"/>
  <c r="K99" i="57"/>
  <c r="K100" i="57"/>
  <c r="K101" i="57"/>
  <c r="K102" i="57"/>
  <c r="K33" i="58" l="1"/>
  <c r="K35" i="58"/>
  <c r="K19" i="58"/>
  <c r="H14" i="64" s="1"/>
  <c r="K15" i="60"/>
  <c r="H14" i="66" s="1"/>
  <c r="K31" i="60"/>
  <c r="H17" i="66" s="1"/>
  <c r="K30" i="58"/>
  <c r="J25" i="59"/>
  <c r="J26" i="59" s="1"/>
  <c r="J27" i="59" s="1"/>
  <c r="K27" i="59" s="1"/>
  <c r="K27" i="61"/>
  <c r="K28" i="61"/>
  <c r="K26" i="60"/>
  <c r="H16" i="66" s="1"/>
  <c r="I39" i="60"/>
  <c r="K39" i="60" s="1"/>
  <c r="I34" i="60"/>
  <c r="K34" i="60" s="1"/>
  <c r="K36" i="60" s="1"/>
  <c r="H18" i="66" s="1"/>
  <c r="K19" i="60"/>
  <c r="K41" i="60"/>
  <c r="K31" i="61"/>
  <c r="K21" i="61"/>
  <c r="K24" i="61" s="1"/>
  <c r="H15" i="67" s="1"/>
  <c r="K68" i="59"/>
  <c r="H22" i="65" s="1"/>
  <c r="K35" i="59"/>
  <c r="H17" i="65" s="1"/>
  <c r="K18" i="59"/>
  <c r="K47" i="59"/>
  <c r="H19" i="65" s="1"/>
  <c r="K40" i="59"/>
  <c r="H18" i="65" s="1"/>
  <c r="K62" i="59"/>
  <c r="J54" i="59"/>
  <c r="K54" i="59" s="1"/>
  <c r="K59" i="59" s="1"/>
  <c r="H21" i="65" s="1"/>
  <c r="K20" i="59"/>
  <c r="K87" i="57"/>
  <c r="H24" i="63" s="1"/>
  <c r="K67" i="58"/>
  <c r="I50" i="58"/>
  <c r="K50" i="58" s="1"/>
  <c r="K87" i="58"/>
  <c r="H24" i="64" s="1"/>
  <c r="K58" i="58"/>
  <c r="K61" i="58" s="1"/>
  <c r="H19" i="64" s="1"/>
  <c r="K40" i="58"/>
  <c r="K47" i="58" s="1"/>
  <c r="H17" i="64" s="1"/>
  <c r="K70" i="58"/>
  <c r="K22" i="58"/>
  <c r="K79" i="58"/>
  <c r="K28" i="57"/>
  <c r="K39" i="57"/>
  <c r="K57" i="57"/>
  <c r="K60" i="57" s="1"/>
  <c r="H19" i="63" s="1"/>
  <c r="K104" i="57"/>
  <c r="H26" i="63" s="1"/>
  <c r="K67" i="57"/>
  <c r="K78" i="57"/>
  <c r="K48" i="57"/>
  <c r="K63" i="57"/>
  <c r="K65" i="57" s="1"/>
  <c r="H20" i="63" s="1"/>
  <c r="I49" i="57"/>
  <c r="K49" i="57" s="1"/>
  <c r="K79" i="57"/>
  <c r="K70" i="57"/>
  <c r="K26" i="61"/>
  <c r="K36" i="61" s="1"/>
  <c r="H16" i="67" s="1"/>
  <c r="K49" i="59"/>
  <c r="K51" i="59" s="1"/>
  <c r="H20" i="65" s="1"/>
  <c r="K21" i="57"/>
  <c r="K63" i="58"/>
  <c r="K65" i="58" s="1"/>
  <c r="H20" i="64" s="1"/>
  <c r="K104" i="58"/>
  <c r="H26" i="64" s="1"/>
  <c r="K96" i="58"/>
  <c r="H25" i="64" s="1"/>
  <c r="K78" i="58"/>
  <c r="K49" i="58"/>
  <c r="H14" i="63"/>
  <c r="I70" i="59"/>
  <c r="K70" i="59" s="1"/>
  <c r="K76" i="58"/>
  <c r="H22" i="64" s="1"/>
  <c r="K15" i="61"/>
  <c r="H14" i="67" s="1"/>
  <c r="I71" i="59"/>
  <c r="K71" i="59" s="1"/>
  <c r="K55" i="57" l="1"/>
  <c r="H18" i="63" s="1"/>
  <c r="K56" i="58"/>
  <c r="H18" i="64" s="1"/>
  <c r="K46" i="57"/>
  <c r="H17" i="63" s="1"/>
  <c r="K81" i="57"/>
  <c r="H23" i="63" s="1"/>
  <c r="K43" i="61"/>
  <c r="H24" i="67"/>
  <c r="G29" i="3" s="1"/>
  <c r="K73" i="59"/>
  <c r="H23" i="65" s="1"/>
  <c r="K43" i="60"/>
  <c r="H19" i="66" s="1"/>
  <c r="K21" i="60"/>
  <c r="H15" i="66" s="1"/>
  <c r="H24" i="66" s="1"/>
  <c r="G33" i="3" s="1"/>
  <c r="K26" i="59"/>
  <c r="K29" i="58"/>
  <c r="K25" i="59"/>
  <c r="K29" i="57"/>
  <c r="K69" i="58"/>
  <c r="K68" i="58"/>
  <c r="K69" i="57"/>
  <c r="K68" i="57"/>
  <c r="K81" i="58"/>
  <c r="H23" i="64" s="1"/>
  <c r="K31" i="58" l="1"/>
  <c r="K38" i="58" s="1"/>
  <c r="H16" i="64" s="1"/>
  <c r="K56" i="60"/>
  <c r="K30" i="59"/>
  <c r="H16" i="65" s="1"/>
  <c r="K30" i="57"/>
  <c r="K72" i="58"/>
  <c r="K72" i="57"/>
  <c r="H21" i="63" s="1"/>
  <c r="K31" i="57" l="1"/>
  <c r="H21" i="64"/>
  <c r="K32" i="57" l="1"/>
  <c r="I8" i="50"/>
  <c r="I8" i="48"/>
  <c r="I14" i="50"/>
  <c r="K14" i="50" s="1"/>
  <c r="B15" i="50"/>
  <c r="B16" i="50" s="1"/>
  <c r="B17" i="50" s="1"/>
  <c r="K15" i="50"/>
  <c r="K16" i="50"/>
  <c r="K17" i="50"/>
  <c r="I21" i="50"/>
  <c r="J21" i="50"/>
  <c r="K21" i="50" s="1"/>
  <c r="B22" i="50"/>
  <c r="I22" i="50"/>
  <c r="K22" i="50" s="1"/>
  <c r="B23" i="50"/>
  <c r="I23" i="50"/>
  <c r="K23" i="50" s="1"/>
  <c r="B24" i="50"/>
  <c r="B25" i="50" s="1"/>
  <c r="B26" i="50" s="1"/>
  <c r="B27" i="50" s="1"/>
  <c r="J24" i="50"/>
  <c r="K24" i="50" s="1"/>
  <c r="J25" i="50"/>
  <c r="K25" i="50" s="1"/>
  <c r="J26" i="50"/>
  <c r="K26" i="50"/>
  <c r="J27" i="50"/>
  <c r="K27" i="50"/>
  <c r="J31" i="50"/>
  <c r="K31" i="50" s="1"/>
  <c r="B32" i="50"/>
  <c r="B33" i="50" s="1"/>
  <c r="B34" i="50" s="1"/>
  <c r="B35" i="50" s="1"/>
  <c r="B36" i="50" s="1"/>
  <c r="B37" i="50" s="1"/>
  <c r="B38" i="50" s="1"/>
  <c r="B39" i="50" s="1"/>
  <c r="B40" i="50" s="1"/>
  <c r="B41" i="50" s="1"/>
  <c r="B42" i="50" s="1"/>
  <c r="B43" i="50" s="1"/>
  <c r="B44" i="50" s="1"/>
  <c r="B45" i="50" s="1"/>
  <c r="B46" i="50" s="1"/>
  <c r="B47" i="50" s="1"/>
  <c r="B48" i="50" s="1"/>
  <c r="J32" i="50"/>
  <c r="K32" i="50" s="1"/>
  <c r="I33" i="50"/>
  <c r="K33" i="50" s="1"/>
  <c r="I34" i="50"/>
  <c r="J34" i="50"/>
  <c r="I35" i="50"/>
  <c r="J35" i="50"/>
  <c r="J36" i="50" s="1"/>
  <c r="I36" i="50"/>
  <c r="I37" i="50"/>
  <c r="I38" i="50"/>
  <c r="K38" i="50" s="1"/>
  <c r="K39" i="50"/>
  <c r="I40" i="50"/>
  <c r="J40" i="50"/>
  <c r="K40" i="50" s="1"/>
  <c r="I41" i="50"/>
  <c r="J41" i="50"/>
  <c r="K41" i="50" s="1"/>
  <c r="I42" i="50"/>
  <c r="I43" i="50"/>
  <c r="I44" i="50"/>
  <c r="K44" i="50"/>
  <c r="I45" i="50"/>
  <c r="K45" i="50" s="1"/>
  <c r="I46" i="50"/>
  <c r="K46" i="50" s="1"/>
  <c r="J46" i="50"/>
  <c r="J48" i="50"/>
  <c r="C13" i="49"/>
  <c r="K14" i="48"/>
  <c r="K18" i="48" s="1"/>
  <c r="H14" i="47" s="1"/>
  <c r="K20" i="48"/>
  <c r="B21" i="48"/>
  <c r="B22" i="48" s="1"/>
  <c r="B23" i="48" s="1"/>
  <c r="B24" i="48" s="1"/>
  <c r="K21" i="48"/>
  <c r="B28" i="48"/>
  <c r="B29" i="48" s="1"/>
  <c r="B30" i="48" s="1"/>
  <c r="B31" i="48" s="1"/>
  <c r="B32" i="48" s="1"/>
  <c r="B33" i="48" s="1"/>
  <c r="B34" i="48" s="1"/>
  <c r="K37" i="48"/>
  <c r="B38" i="48"/>
  <c r="B39" i="48" s="1"/>
  <c r="B40" i="48" s="1"/>
  <c r="B41" i="48" s="1"/>
  <c r="B42" i="48" s="1"/>
  <c r="K38" i="48"/>
  <c r="K45" i="48"/>
  <c r="B46" i="48"/>
  <c r="K46" i="48"/>
  <c r="K53" i="48"/>
  <c r="B54" i="48"/>
  <c r="B55" i="48" s="1"/>
  <c r="B56" i="48" s="1"/>
  <c r="K54" i="48"/>
  <c r="K55" i="48"/>
  <c r="K56" i="48"/>
  <c r="K60" i="48"/>
  <c r="K61" i="48"/>
  <c r="S68" i="48"/>
  <c r="T68" i="48"/>
  <c r="S69" i="48"/>
  <c r="C13" i="47"/>
  <c r="C14" i="47"/>
  <c r="C15" i="47"/>
  <c r="C16" i="47"/>
  <c r="C17" i="47"/>
  <c r="C18" i="47"/>
  <c r="C19" i="47"/>
  <c r="C20" i="47"/>
  <c r="C21" i="47"/>
  <c r="I8" i="46"/>
  <c r="K14" i="46"/>
  <c r="K16" i="46" s="1"/>
  <c r="I18" i="46"/>
  <c r="K18" i="46" s="1"/>
  <c r="B19" i="46"/>
  <c r="B20" i="46" s="1"/>
  <c r="I19" i="46"/>
  <c r="J19" i="46"/>
  <c r="J50" i="46" s="1"/>
  <c r="I20" i="46"/>
  <c r="J20" i="46"/>
  <c r="I24" i="46"/>
  <c r="J24" i="46"/>
  <c r="J25" i="46" s="1"/>
  <c r="I25" i="46"/>
  <c r="B26" i="46"/>
  <c r="I26" i="46"/>
  <c r="I30" i="46"/>
  <c r="J30" i="46"/>
  <c r="J34" i="46"/>
  <c r="B35" i="46"/>
  <c r="K35" i="46"/>
  <c r="I39" i="46"/>
  <c r="K39" i="46" s="1"/>
  <c r="B40" i="46"/>
  <c r="I41" i="46"/>
  <c r="K41" i="46" s="1"/>
  <c r="J45" i="46"/>
  <c r="K45" i="46" s="1"/>
  <c r="K47" i="46" s="1"/>
  <c r="H20" i="45" s="1"/>
  <c r="K49" i="46"/>
  <c r="I50" i="46"/>
  <c r="I51" i="46"/>
  <c r="J51" i="46"/>
  <c r="B53" i="46"/>
  <c r="B54" i="46" s="1"/>
  <c r="B55" i="46" s="1"/>
  <c r="J53" i="46"/>
  <c r="K53" i="46"/>
  <c r="J54" i="46"/>
  <c r="K54" i="46" s="1"/>
  <c r="J55" i="46"/>
  <c r="K55" i="46" s="1"/>
  <c r="K59" i="46"/>
  <c r="B60" i="46"/>
  <c r="B61" i="46" s="1"/>
  <c r="B62" i="46" s="1"/>
  <c r="K60" i="46"/>
  <c r="K61" i="46"/>
  <c r="K62" i="46"/>
  <c r="J66" i="46"/>
  <c r="I67" i="46"/>
  <c r="J67" i="46"/>
  <c r="K76" i="46"/>
  <c r="H24" i="45" s="1"/>
  <c r="K85" i="46"/>
  <c r="H25" i="45" s="1"/>
  <c r="K87" i="46"/>
  <c r="K88" i="46"/>
  <c r="K89" i="46"/>
  <c r="K90" i="46"/>
  <c r="C13" i="45"/>
  <c r="K33" i="57" l="1"/>
  <c r="K51" i="48"/>
  <c r="H18" i="47" s="1"/>
  <c r="K43" i="48"/>
  <c r="H17" i="47" s="1"/>
  <c r="K25" i="48"/>
  <c r="H15" i="47" s="1"/>
  <c r="K63" i="48"/>
  <c r="H20" i="47" s="1"/>
  <c r="K92" i="46"/>
  <c r="H26" i="45" s="1"/>
  <c r="K64" i="46"/>
  <c r="H22" i="45" s="1"/>
  <c r="K67" i="46"/>
  <c r="K51" i="46"/>
  <c r="I40" i="46"/>
  <c r="K40" i="46" s="1"/>
  <c r="K58" i="48"/>
  <c r="H19" i="47" s="1"/>
  <c r="K35" i="50"/>
  <c r="K34" i="50"/>
  <c r="K27" i="48"/>
  <c r="J42" i="50"/>
  <c r="K42" i="50" s="1"/>
  <c r="I47" i="50"/>
  <c r="K19" i="46"/>
  <c r="K19" i="50"/>
  <c r="H14" i="49" s="1"/>
  <c r="K28" i="48"/>
  <c r="K29" i="50"/>
  <c r="H16" i="49" s="1"/>
  <c r="J37" i="50"/>
  <c r="K37" i="50" s="1"/>
  <c r="K36" i="50"/>
  <c r="K72" i="48"/>
  <c r="H21" i="47" s="1"/>
  <c r="K20" i="46"/>
  <c r="K24" i="46"/>
  <c r="K30" i="46"/>
  <c r="K32" i="46" s="1"/>
  <c r="H17" i="45" s="1"/>
  <c r="I34" i="46"/>
  <c r="I66" i="46" s="1"/>
  <c r="K66" i="46" s="1"/>
  <c r="K69" i="46" s="1"/>
  <c r="H23" i="45" s="1"/>
  <c r="K50" i="46"/>
  <c r="K57" i="46" s="1"/>
  <c r="H21" i="45" s="1"/>
  <c r="K25" i="46"/>
  <c r="J26" i="46"/>
  <c r="K26" i="46" s="1"/>
  <c r="K43" i="46"/>
  <c r="H19" i="45" s="1"/>
  <c r="H14" i="45"/>
  <c r="K35" i="57" l="1"/>
  <c r="K34" i="57"/>
  <c r="K29" i="48"/>
  <c r="K22" i="46"/>
  <c r="H15" i="45" s="1"/>
  <c r="K47" i="50"/>
  <c r="I48" i="50"/>
  <c r="K48" i="50" s="1"/>
  <c r="J43" i="50"/>
  <c r="K43" i="50" s="1"/>
  <c r="K34" i="46"/>
  <c r="K37" i="46" s="1"/>
  <c r="H18" i="45" s="1"/>
  <c r="K28" i="46"/>
  <c r="K37" i="57" l="1"/>
  <c r="H16" i="63" s="1"/>
  <c r="K30" i="48"/>
  <c r="K95" i="46"/>
  <c r="K50" i="50"/>
  <c r="H18" i="49" s="1"/>
  <c r="H26" i="49" s="1"/>
  <c r="G30" i="3" s="1"/>
  <c r="H16" i="45"/>
  <c r="H29" i="45" s="1"/>
  <c r="G31" i="3" s="1"/>
  <c r="C13" i="44"/>
  <c r="K31" i="48" l="1"/>
  <c r="K54" i="50"/>
  <c r="I7" i="43"/>
  <c r="K13" i="43"/>
  <c r="B14" i="43"/>
  <c r="K14" i="43"/>
  <c r="B15" i="43"/>
  <c r="B16" i="43" s="1"/>
  <c r="B17" i="43" s="1"/>
  <c r="K15" i="43"/>
  <c r="K16" i="43"/>
  <c r="K17" i="43"/>
  <c r="K21" i="43"/>
  <c r="B22" i="43"/>
  <c r="K22" i="43"/>
  <c r="B23" i="43"/>
  <c r="B24" i="43" s="1"/>
  <c r="B25" i="43" s="1"/>
  <c r="B26" i="43" s="1"/>
  <c r="B27" i="43" s="1"/>
  <c r="B28" i="43" s="1"/>
  <c r="B29" i="43" s="1"/>
  <c r="K23" i="43"/>
  <c r="K24" i="43"/>
  <c r="K25" i="43"/>
  <c r="K26" i="43"/>
  <c r="K27" i="43"/>
  <c r="K28" i="43"/>
  <c r="K29" i="43"/>
  <c r="B34" i="43"/>
  <c r="K34" i="43"/>
  <c r="B35" i="43"/>
  <c r="K35" i="43"/>
  <c r="B36" i="43"/>
  <c r="B37" i="43" s="1"/>
  <c r="B38" i="43" s="1"/>
  <c r="B39" i="43" s="1"/>
  <c r="B40" i="43" s="1"/>
  <c r="B41" i="43" s="1"/>
  <c r="B42" i="43" s="1"/>
  <c r="B43" i="43" s="1"/>
  <c r="B44" i="43" s="1"/>
  <c r="B45" i="43" s="1"/>
  <c r="B46" i="43" s="1"/>
  <c r="B47" i="43" s="1"/>
  <c r="B48" i="43" s="1"/>
  <c r="B49" i="43" s="1"/>
  <c r="B50" i="43" s="1"/>
  <c r="B51" i="43" s="1"/>
  <c r="B52" i="43" s="1"/>
  <c r="B53" i="43" s="1"/>
  <c r="B54" i="43" s="1"/>
  <c r="B55" i="43" s="1"/>
  <c r="K36" i="43"/>
  <c r="K37" i="43"/>
  <c r="K38" i="43"/>
  <c r="K39" i="43"/>
  <c r="K40" i="43"/>
  <c r="K41" i="43"/>
  <c r="K42" i="43"/>
  <c r="K43" i="43"/>
  <c r="K44" i="43"/>
  <c r="K45" i="43"/>
  <c r="K46" i="43"/>
  <c r="K47" i="43"/>
  <c r="K48" i="43"/>
  <c r="K49" i="43"/>
  <c r="K50" i="43"/>
  <c r="K51" i="43"/>
  <c r="K52" i="43"/>
  <c r="K59" i="43"/>
  <c r="K61" i="43" s="1"/>
  <c r="H17" i="42" s="1"/>
  <c r="K63" i="43"/>
  <c r="B64" i="43"/>
  <c r="K64" i="43"/>
  <c r="K65" i="43"/>
  <c r="B66" i="43"/>
  <c r="K66" i="43"/>
  <c r="K70" i="43"/>
  <c r="B71" i="43"/>
  <c r="K71" i="43"/>
  <c r="B72" i="43"/>
  <c r="B73" i="43" s="1"/>
  <c r="B74" i="43" s="1"/>
  <c r="B75" i="43" s="1"/>
  <c r="B76" i="43" s="1"/>
  <c r="B77" i="43" s="1"/>
  <c r="B78" i="43" s="1"/>
  <c r="B79" i="43" s="1"/>
  <c r="B80" i="43" s="1"/>
  <c r="B81" i="43" s="1"/>
  <c r="B82" i="43" s="1"/>
  <c r="B83" i="43" s="1"/>
  <c r="B84" i="43" s="1"/>
  <c r="B85" i="43" s="1"/>
  <c r="B86" i="43" s="1"/>
  <c r="B87" i="43" s="1"/>
  <c r="B88" i="43" s="1"/>
  <c r="K72" i="43"/>
  <c r="K73" i="43"/>
  <c r="K74" i="43"/>
  <c r="K75" i="43"/>
  <c r="K76" i="43"/>
  <c r="K77" i="43"/>
  <c r="K78" i="43"/>
  <c r="K79" i="43"/>
  <c r="K80" i="43"/>
  <c r="K81" i="43"/>
  <c r="K82" i="43"/>
  <c r="K83" i="43"/>
  <c r="K84" i="43"/>
  <c r="K85" i="43"/>
  <c r="K86" i="43"/>
  <c r="K87" i="43"/>
  <c r="K88" i="43"/>
  <c r="B93" i="43"/>
  <c r="K53" i="43"/>
  <c r="B99" i="43"/>
  <c r="B100" i="43" s="1"/>
  <c r="K102" i="43"/>
  <c r="S109" i="43"/>
  <c r="B110" i="43"/>
  <c r="B111" i="43" s="1"/>
  <c r="B112" i="43" s="1"/>
  <c r="B113" i="43" s="1"/>
  <c r="B114" i="43" s="1"/>
  <c r="B115" i="43" s="1"/>
  <c r="B116" i="43" s="1"/>
  <c r="B117" i="43" s="1"/>
  <c r="B118" i="43" s="1"/>
  <c r="B119" i="43" s="1"/>
  <c r="S110" i="43"/>
  <c r="S111" i="43"/>
  <c r="S112" i="43"/>
  <c r="Q113" i="43"/>
  <c r="S113" i="43"/>
  <c r="Q114" i="43"/>
  <c r="S114" i="43" s="1"/>
  <c r="Q115" i="43"/>
  <c r="S115" i="43" s="1"/>
  <c r="K112" i="43" s="1"/>
  <c r="K116" i="43"/>
  <c r="Q116" i="43"/>
  <c r="S116" i="43"/>
  <c r="K117" i="43"/>
  <c r="S117" i="43"/>
  <c r="K113" i="43" s="1"/>
  <c r="K118" i="43"/>
  <c r="S118" i="43"/>
  <c r="K119" i="43"/>
  <c r="S119" i="43"/>
  <c r="S120" i="43"/>
  <c r="S121" i="43"/>
  <c r="S122" i="43"/>
  <c r="J124" i="43"/>
  <c r="S123" i="43"/>
  <c r="R124" i="43"/>
  <c r="S124" i="43" s="1"/>
  <c r="S125" i="43"/>
  <c r="K133" i="43"/>
  <c r="H24" i="42" s="1"/>
  <c r="K142" i="43"/>
  <c r="H25" i="42" s="1"/>
  <c r="K144" i="43"/>
  <c r="B145" i="43"/>
  <c r="B146" i="43" s="1"/>
  <c r="B147" i="43" s="1"/>
  <c r="B148" i="43" s="1"/>
  <c r="K145" i="43"/>
  <c r="K146" i="43"/>
  <c r="K147" i="43"/>
  <c r="K148" i="43"/>
  <c r="C13" i="42"/>
  <c r="I7" i="41"/>
  <c r="K13" i="41"/>
  <c r="K15" i="41" s="1"/>
  <c r="I17" i="41"/>
  <c r="K17" i="41"/>
  <c r="B18" i="41"/>
  <c r="I18" i="41"/>
  <c r="K18" i="41" s="1"/>
  <c r="B19" i="41"/>
  <c r="I19" i="41"/>
  <c r="J19" i="41"/>
  <c r="I23" i="41"/>
  <c r="J23" i="41"/>
  <c r="K23" i="41" s="1"/>
  <c r="I24" i="41"/>
  <c r="B25" i="41"/>
  <c r="I25" i="41"/>
  <c r="I29" i="41"/>
  <c r="I34" i="41" s="1"/>
  <c r="B30" i="41"/>
  <c r="K30" i="41"/>
  <c r="B35" i="41"/>
  <c r="K35" i="41"/>
  <c r="K39" i="41"/>
  <c r="B40" i="41"/>
  <c r="I40" i="41"/>
  <c r="K40" i="41" s="1"/>
  <c r="K48" i="41"/>
  <c r="I49" i="41"/>
  <c r="J49" i="41"/>
  <c r="I50" i="41"/>
  <c r="K50" i="41"/>
  <c r="K52" i="41"/>
  <c r="K53" i="41"/>
  <c r="K54" i="41"/>
  <c r="J58" i="41"/>
  <c r="K58" i="41" s="1"/>
  <c r="B59" i="41"/>
  <c r="K59" i="41"/>
  <c r="B60" i="41"/>
  <c r="B61" i="41" s="1"/>
  <c r="K60" i="41"/>
  <c r="K61" i="41"/>
  <c r="K73" i="41"/>
  <c r="H24" i="40" s="1"/>
  <c r="K78" i="41"/>
  <c r="H25" i="40" s="1"/>
  <c r="K80" i="41"/>
  <c r="B81" i="41"/>
  <c r="B82" i="41" s="1"/>
  <c r="K81" i="41"/>
  <c r="K82" i="41"/>
  <c r="K84" i="41"/>
  <c r="C13" i="40"/>
  <c r="H26" i="40"/>
  <c r="K13" i="39"/>
  <c r="B14" i="39"/>
  <c r="B15" i="39" s="1"/>
  <c r="B16" i="39" s="1"/>
  <c r="B17" i="39" s="1"/>
  <c r="K14" i="39"/>
  <c r="K15" i="39"/>
  <c r="K16" i="39"/>
  <c r="K17" i="39"/>
  <c r="K21" i="39"/>
  <c r="B22" i="39"/>
  <c r="K22" i="39"/>
  <c r="B23" i="39"/>
  <c r="B24" i="39" s="1"/>
  <c r="B25" i="39" s="1"/>
  <c r="B26" i="39" s="1"/>
  <c r="K23" i="39"/>
  <c r="K25" i="39"/>
  <c r="K30" i="39"/>
  <c r="B31" i="39"/>
  <c r="B32" i="39" s="1"/>
  <c r="B33" i="39" s="1"/>
  <c r="B34" i="39" s="1"/>
  <c r="B35" i="39" s="1"/>
  <c r="B36" i="39" s="1"/>
  <c r="B37" i="39" s="1"/>
  <c r="B38" i="39" s="1"/>
  <c r="B39" i="39" s="1"/>
  <c r="B40" i="39" s="1"/>
  <c r="B41" i="39" s="1"/>
  <c r="B42" i="39" s="1"/>
  <c r="B43" i="39" s="1"/>
  <c r="B44" i="39" s="1"/>
  <c r="B45" i="39" s="1"/>
  <c r="B46" i="39" s="1"/>
  <c r="B47" i="39" s="1"/>
  <c r="B48" i="39" s="1"/>
  <c r="K52" i="39"/>
  <c r="B53" i="39"/>
  <c r="B54" i="39" s="1"/>
  <c r="B55" i="39" s="1"/>
  <c r="I59" i="39"/>
  <c r="I116" i="39" s="1"/>
  <c r="K54" i="39"/>
  <c r="B60" i="39"/>
  <c r="K60" i="39"/>
  <c r="K61" i="39"/>
  <c r="B66" i="39"/>
  <c r="B67" i="39" s="1"/>
  <c r="B68" i="39" s="1"/>
  <c r="B69" i="39" s="1"/>
  <c r="B70" i="39" s="1"/>
  <c r="B71" i="39" s="1"/>
  <c r="B72" i="39" s="1"/>
  <c r="B73" i="39" s="1"/>
  <c r="B74" i="39" s="1"/>
  <c r="B75" i="39" s="1"/>
  <c r="B76" i="39" s="1"/>
  <c r="K69" i="39"/>
  <c r="K70" i="39"/>
  <c r="K71" i="39"/>
  <c r="K72" i="39"/>
  <c r="K74" i="39"/>
  <c r="K75" i="39"/>
  <c r="L75" i="39"/>
  <c r="K76" i="39"/>
  <c r="K80" i="39"/>
  <c r="B81" i="39"/>
  <c r="K81" i="39"/>
  <c r="K85" i="39"/>
  <c r="B86" i="39"/>
  <c r="B87" i="39" s="1"/>
  <c r="B88" i="39" s="1"/>
  <c r="K87" i="39"/>
  <c r="K89" i="39"/>
  <c r="K95" i="39"/>
  <c r="B96" i="39"/>
  <c r="K96" i="39"/>
  <c r="B97" i="39"/>
  <c r="K97" i="39"/>
  <c r="B98" i="39"/>
  <c r="B99" i="39" s="1"/>
  <c r="B100" i="39" s="1"/>
  <c r="B101" i="39" s="1"/>
  <c r="B102" i="39" s="1"/>
  <c r="B103" i="39" s="1"/>
  <c r="B104" i="39" s="1"/>
  <c r="B105" i="39" s="1"/>
  <c r="B106" i="39" s="1"/>
  <c r="B107" i="39" s="1"/>
  <c r="B108" i="39" s="1"/>
  <c r="B109" i="39" s="1"/>
  <c r="B110" i="39" s="1"/>
  <c r="B111" i="39" s="1"/>
  <c r="B112" i="39" s="1"/>
  <c r="K98" i="39"/>
  <c r="K104" i="39"/>
  <c r="K107" i="39"/>
  <c r="K108" i="39"/>
  <c r="K109" i="39"/>
  <c r="K110" i="39"/>
  <c r="K112" i="39"/>
  <c r="K121" i="39"/>
  <c r="K122" i="39"/>
  <c r="K123" i="39"/>
  <c r="K124" i="39"/>
  <c r="K135" i="39"/>
  <c r="H25" i="44" s="1"/>
  <c r="K137" i="39"/>
  <c r="B138" i="39"/>
  <c r="K138" i="39"/>
  <c r="B139" i="39"/>
  <c r="B140" i="39" s="1"/>
  <c r="B141" i="39" s="1"/>
  <c r="K139" i="39"/>
  <c r="K140" i="39"/>
  <c r="K141" i="39"/>
  <c r="D5" i="38"/>
  <c r="E7" i="38" s="1"/>
  <c r="D6" i="38"/>
  <c r="I12" i="38"/>
  <c r="I14" i="38"/>
  <c r="I15" i="38"/>
  <c r="I17" i="38"/>
  <c r="I22" i="38"/>
  <c r="J28" i="38"/>
  <c r="J30" i="38" s="1"/>
  <c r="M30" i="38" s="1"/>
  <c r="G30" i="38"/>
  <c r="F31" i="38"/>
  <c r="J31" i="38"/>
  <c r="M31" i="38" s="1"/>
  <c r="F32" i="38"/>
  <c r="J32" i="38"/>
  <c r="M32" i="38" s="1"/>
  <c r="F33" i="38"/>
  <c r="M33" i="38"/>
  <c r="F34" i="38"/>
  <c r="G35" i="38" s="1"/>
  <c r="H36" i="38" s="1"/>
  <c r="M34" i="38"/>
  <c r="M35" i="38"/>
  <c r="J36" i="38"/>
  <c r="M36" i="38" s="1"/>
  <c r="M37" i="38"/>
  <c r="J38" i="38"/>
  <c r="M38" i="38" s="1"/>
  <c r="J39" i="38"/>
  <c r="M39" i="38" s="1"/>
  <c r="J40" i="38"/>
  <c r="M40" i="38" s="1"/>
  <c r="J41" i="38"/>
  <c r="M41" i="38" s="1"/>
  <c r="E51" i="38"/>
  <c r="H51" i="38" s="1"/>
  <c r="F51" i="38"/>
  <c r="G51" i="38"/>
  <c r="E55" i="38"/>
  <c r="H55" i="38" s="1"/>
  <c r="F55" i="38"/>
  <c r="G55" i="38" s="1"/>
  <c r="E60" i="38"/>
  <c r="H60" i="38" s="1"/>
  <c r="F60" i="38"/>
  <c r="G60" i="38"/>
  <c r="E64" i="38"/>
  <c r="H64" i="38" s="1"/>
  <c r="F64" i="38"/>
  <c r="G64" i="38" s="1"/>
  <c r="E68" i="38"/>
  <c r="H68" i="38" s="1"/>
  <c r="K65" i="39" s="1"/>
  <c r="F68" i="38"/>
  <c r="G68" i="38"/>
  <c r="E72" i="38"/>
  <c r="H72" i="38" s="1"/>
  <c r="K66" i="39" s="1"/>
  <c r="F72" i="38"/>
  <c r="G72" i="38" s="1"/>
  <c r="E76" i="38"/>
  <c r="H76" i="38" s="1"/>
  <c r="K67" i="39" s="1"/>
  <c r="F76" i="38"/>
  <c r="G76" i="38"/>
  <c r="E81" i="38"/>
  <c r="H81" i="38" s="1"/>
  <c r="K68" i="39" s="1"/>
  <c r="F81" i="38"/>
  <c r="G81" i="38" s="1"/>
  <c r="E86" i="38"/>
  <c r="H86" i="38" s="1"/>
  <c r="F86" i="38"/>
  <c r="G86" i="38"/>
  <c r="G90" i="38"/>
  <c r="G91" i="38"/>
  <c r="E95" i="38"/>
  <c r="E96" i="38" s="1"/>
  <c r="G96" i="38" s="1"/>
  <c r="F95" i="38"/>
  <c r="G95" i="38" s="1"/>
  <c r="H95" i="38"/>
  <c r="E97" i="38"/>
  <c r="H97" i="38" s="1"/>
  <c r="F97" i="38"/>
  <c r="E99" i="38"/>
  <c r="H99" i="38" s="1"/>
  <c r="F99" i="38"/>
  <c r="G99" i="38"/>
  <c r="E100" i="38"/>
  <c r="G100" i="38" s="1"/>
  <c r="G103" i="38"/>
  <c r="G104" i="38"/>
  <c r="E107" i="38"/>
  <c r="E108" i="38" s="1"/>
  <c r="G108" i="38" s="1"/>
  <c r="F107" i="38"/>
  <c r="H107" i="38"/>
  <c r="E109" i="38"/>
  <c r="H109" i="38" s="1"/>
  <c r="F109" i="38"/>
  <c r="G109" i="38" s="1"/>
  <c r="E111" i="38"/>
  <c r="F111" i="38"/>
  <c r="G111" i="38" s="1"/>
  <c r="H111" i="38"/>
  <c r="E112" i="38"/>
  <c r="G112" i="38"/>
  <c r="E115" i="38"/>
  <c r="H115" i="38" s="1"/>
  <c r="F115" i="38"/>
  <c r="G115" i="38" s="1"/>
  <c r="E116" i="38"/>
  <c r="G116" i="38" s="1"/>
  <c r="E117" i="38"/>
  <c r="H117" i="38" s="1"/>
  <c r="F117" i="38"/>
  <c r="E118" i="38"/>
  <c r="G118" i="38" s="1"/>
  <c r="E119" i="38"/>
  <c r="H119" i="38" s="1"/>
  <c r="F119" i="38"/>
  <c r="G119" i="38"/>
  <c r="G123" i="38"/>
  <c r="G124" i="38"/>
  <c r="E127" i="38"/>
  <c r="H127" i="38" s="1"/>
  <c r="F127" i="38"/>
  <c r="G127" i="38" s="1"/>
  <c r="E128" i="38"/>
  <c r="G128" i="38" s="1"/>
  <c r="E129" i="38"/>
  <c r="H129" i="38" s="1"/>
  <c r="F129" i="38"/>
  <c r="E130" i="38"/>
  <c r="G130" i="38" s="1"/>
  <c r="E131" i="38"/>
  <c r="H131" i="38" s="1"/>
  <c r="F131" i="38"/>
  <c r="G131" i="38"/>
  <c r="E135" i="38"/>
  <c r="H135" i="38" s="1"/>
  <c r="F135" i="38"/>
  <c r="G135" i="38" s="1"/>
  <c r="E136" i="38"/>
  <c r="G136" i="38"/>
  <c r="E137" i="38"/>
  <c r="E138" i="38" s="1"/>
  <c r="G138" i="38" s="1"/>
  <c r="F137" i="38"/>
  <c r="G137" i="38" s="1"/>
  <c r="H137" i="38"/>
  <c r="E139" i="38"/>
  <c r="H139" i="38" s="1"/>
  <c r="F139" i="38"/>
  <c r="E143" i="38"/>
  <c r="G143" i="38" s="1"/>
  <c r="F143" i="38"/>
  <c r="E145" i="38"/>
  <c r="H145" i="38" s="1"/>
  <c r="F145" i="38"/>
  <c r="G145" i="38"/>
  <c r="E147" i="38"/>
  <c r="H147" i="38" s="1"/>
  <c r="F147" i="38"/>
  <c r="E148" i="38"/>
  <c r="G148" i="38" s="1"/>
  <c r="E151" i="38"/>
  <c r="E152" i="38" s="1"/>
  <c r="G152" i="38" s="1"/>
  <c r="F151" i="38"/>
  <c r="G151" i="38" s="1"/>
  <c r="H151" i="38"/>
  <c r="E153" i="38"/>
  <c r="E154" i="38" s="1"/>
  <c r="G154" i="38" s="1"/>
  <c r="F153" i="38"/>
  <c r="G153" i="38" s="1"/>
  <c r="E155" i="38"/>
  <c r="F155" i="38"/>
  <c r="G155" i="38" s="1"/>
  <c r="H155" i="38"/>
  <c r="E156" i="38"/>
  <c r="G156" i="38" s="1"/>
  <c r="G163" i="38"/>
  <c r="G164" i="38"/>
  <c r="E166" i="38"/>
  <c r="E167" i="38" s="1"/>
  <c r="G167" i="38" s="1"/>
  <c r="F166" i="38"/>
  <c r="G166" i="38"/>
  <c r="E168" i="38"/>
  <c r="E169" i="38" s="1"/>
  <c r="G169" i="38" s="1"/>
  <c r="F168" i="38"/>
  <c r="G168" i="38"/>
  <c r="G170" i="38"/>
  <c r="G171" i="38"/>
  <c r="E187" i="38"/>
  <c r="E188" i="38" s="1"/>
  <c r="G188" i="38" s="1"/>
  <c r="F187" i="38"/>
  <c r="G187" i="38" s="1"/>
  <c r="E189" i="38"/>
  <c r="E190" i="38" s="1"/>
  <c r="G190" i="38" s="1"/>
  <c r="F189" i="38"/>
  <c r="G191" i="38"/>
  <c r="E195" i="38"/>
  <c r="E196" i="38" s="1"/>
  <c r="G196" i="38" s="1"/>
  <c r="F195" i="38"/>
  <c r="G195" i="38" s="1"/>
  <c r="E197" i="38"/>
  <c r="E198" i="38" s="1"/>
  <c r="G198" i="38" s="1"/>
  <c r="F197" i="38"/>
  <c r="G199" i="38"/>
  <c r="K203" i="38"/>
  <c r="K204" i="38" s="1"/>
  <c r="M204" i="38" s="1"/>
  <c r="L203" i="38"/>
  <c r="M203" i="38" s="1"/>
  <c r="M205" i="38"/>
  <c r="M206" i="38"/>
  <c r="D215" i="38"/>
  <c r="D223" i="38" s="1"/>
  <c r="G223" i="38" s="1"/>
  <c r="D219" i="38"/>
  <c r="G219" i="38" s="1"/>
  <c r="G220" i="38"/>
  <c r="G221" i="38"/>
  <c r="G222" i="38"/>
  <c r="G224" i="38"/>
  <c r="D226" i="38"/>
  <c r="G226" i="38" s="1"/>
  <c r="G227" i="38"/>
  <c r="D231" i="38"/>
  <c r="D233" i="38"/>
  <c r="G233" i="38" s="1"/>
  <c r="D234" i="38"/>
  <c r="G234" i="38" s="1"/>
  <c r="D235" i="38"/>
  <c r="G235" i="38"/>
  <c r="G236" i="38"/>
  <c r="G237" i="38"/>
  <c r="D238" i="38"/>
  <c r="G238" i="38"/>
  <c r="G239" i="38"/>
  <c r="D240" i="38"/>
  <c r="G240" i="38" s="1"/>
  <c r="D241" i="38"/>
  <c r="G241" i="38" s="1"/>
  <c r="D242" i="38"/>
  <c r="G242" i="38" s="1"/>
  <c r="D243" i="38"/>
  <c r="G243" i="38" s="1"/>
  <c r="D246" i="38"/>
  <c r="D248" i="38" s="1"/>
  <c r="G248" i="38" s="1"/>
  <c r="D249" i="38"/>
  <c r="G249" i="38" s="1"/>
  <c r="G250" i="38"/>
  <c r="G251" i="38"/>
  <c r="D253" i="38"/>
  <c r="D252" i="38" s="1"/>
  <c r="G252" i="38" s="1"/>
  <c r="D254" i="38"/>
  <c r="G254" i="38" s="1"/>
  <c r="D257" i="38"/>
  <c r="G261" i="38"/>
  <c r="G262" i="38"/>
  <c r="D264" i="38"/>
  <c r="D263" i="38" s="1"/>
  <c r="G263" i="38" s="1"/>
  <c r="K86" i="39" l="1"/>
  <c r="K88" i="39"/>
  <c r="K111" i="39"/>
  <c r="K90" i="39"/>
  <c r="K32" i="48"/>
  <c r="K150" i="43"/>
  <c r="H26" i="42" s="1"/>
  <c r="K101" i="39"/>
  <c r="G264" i="38"/>
  <c r="G253" i="38"/>
  <c r="D247" i="38"/>
  <c r="G247" i="38" s="1"/>
  <c r="D225" i="38"/>
  <c r="G225" i="38" s="1"/>
  <c r="D217" i="38"/>
  <c r="G217" i="38" s="1"/>
  <c r="G197" i="38"/>
  <c r="G189" i="38"/>
  <c r="I209" i="38" s="1"/>
  <c r="E146" i="38"/>
  <c r="G146" i="38" s="1"/>
  <c r="G139" i="38"/>
  <c r="H133" i="38"/>
  <c r="K34" i="39" s="1"/>
  <c r="H113" i="38"/>
  <c r="K32" i="39" s="1"/>
  <c r="G107" i="38"/>
  <c r="G97" i="38"/>
  <c r="K143" i="39"/>
  <c r="H26" i="44" s="1"/>
  <c r="K117" i="39"/>
  <c r="K116" i="39"/>
  <c r="K100" i="39"/>
  <c r="K53" i="39"/>
  <c r="K19" i="39"/>
  <c r="H14" i="44" s="1"/>
  <c r="K49" i="41"/>
  <c r="K56" i="41" s="1"/>
  <c r="H21" i="40" s="1"/>
  <c r="K115" i="43"/>
  <c r="K114" i="43"/>
  <c r="K110" i="43"/>
  <c r="K103" i="43"/>
  <c r="K100" i="43"/>
  <c r="K98" i="43"/>
  <c r="K55" i="43"/>
  <c r="K19" i="43"/>
  <c r="H14" i="42" s="1"/>
  <c r="H101" i="38"/>
  <c r="K31" i="39" s="1"/>
  <c r="K126" i="39"/>
  <c r="H24" i="44" s="1"/>
  <c r="K63" i="41"/>
  <c r="H22" i="40" s="1"/>
  <c r="K109" i="43"/>
  <c r="K33" i="43"/>
  <c r="K83" i="39"/>
  <c r="H20" i="44" s="1"/>
  <c r="J24" i="41"/>
  <c r="J25" i="41" s="1"/>
  <c r="K25" i="41" s="1"/>
  <c r="K123" i="43"/>
  <c r="K59" i="39"/>
  <c r="K63" i="39" s="1"/>
  <c r="H18" i="44" s="1"/>
  <c r="K24" i="39"/>
  <c r="K55" i="39"/>
  <c r="K68" i="43"/>
  <c r="H18" i="42" s="1"/>
  <c r="K19" i="41"/>
  <c r="K21" i="41" s="1"/>
  <c r="H15" i="40" s="1"/>
  <c r="I65" i="41"/>
  <c r="K65" i="41" s="1"/>
  <c r="K67" i="41" s="1"/>
  <c r="H23" i="40" s="1"/>
  <c r="K34" i="41"/>
  <c r="K37" i="41" s="1"/>
  <c r="H18" i="40" s="1"/>
  <c r="H14" i="40"/>
  <c r="K93" i="43"/>
  <c r="K54" i="43"/>
  <c r="G192" i="38"/>
  <c r="K73" i="39" s="1"/>
  <c r="K78" i="39" s="1"/>
  <c r="H19" i="44" s="1"/>
  <c r="M42" i="38"/>
  <c r="N42" i="38" s="1"/>
  <c r="K31" i="43"/>
  <c r="H15" i="42" s="1"/>
  <c r="K90" i="43"/>
  <c r="H19" i="42" s="1"/>
  <c r="G255" i="38"/>
  <c r="H255" i="38" s="1"/>
  <c r="G200" i="38"/>
  <c r="G172" i="38"/>
  <c r="K111" i="43"/>
  <c r="K121" i="43" s="1"/>
  <c r="H22" i="42" s="1"/>
  <c r="G157" i="38"/>
  <c r="H121" i="38"/>
  <c r="K33" i="39" s="1"/>
  <c r="G244" i="38"/>
  <c r="H244" i="38" s="1"/>
  <c r="M207" i="38"/>
  <c r="H141" i="38"/>
  <c r="K35" i="39" s="1"/>
  <c r="K42" i="41"/>
  <c r="H19" i="40" s="1"/>
  <c r="D218" i="38"/>
  <c r="G218" i="38" s="1"/>
  <c r="H153" i="38"/>
  <c r="H157" i="38" s="1"/>
  <c r="K37" i="39" s="1"/>
  <c r="G147" i="38"/>
  <c r="E132" i="38"/>
  <c r="G132" i="38" s="1"/>
  <c r="G129" i="38"/>
  <c r="G133" i="38" s="1"/>
  <c r="I133" i="38" s="1"/>
  <c r="E120" i="38"/>
  <c r="G120" i="38" s="1"/>
  <c r="G117" i="38"/>
  <c r="G121" i="38" s="1"/>
  <c r="I121" i="38" s="1"/>
  <c r="K91" i="39"/>
  <c r="D265" i="38"/>
  <c r="G265" i="38" s="1"/>
  <c r="D260" i="38"/>
  <c r="G260" i="38" s="1"/>
  <c r="D228" i="38"/>
  <c r="G228" i="38" s="1"/>
  <c r="K29" i="41"/>
  <c r="K32" i="41" s="1"/>
  <c r="H17" i="40" s="1"/>
  <c r="E144" i="38"/>
  <c r="G144" i="38" s="1"/>
  <c r="D259" i="38"/>
  <c r="G259" i="38" s="1"/>
  <c r="H143" i="38"/>
  <c r="H149" i="38" s="1"/>
  <c r="K36" i="39" s="1"/>
  <c r="E140" i="38"/>
  <c r="G140" i="38" s="1"/>
  <c r="G141" i="38" s="1"/>
  <c r="E110" i="38"/>
  <c r="G110" i="38" s="1"/>
  <c r="G113" i="38" s="1"/>
  <c r="E98" i="38"/>
  <c r="G98" i="38" s="1"/>
  <c r="I44" i="41"/>
  <c r="K44" i="41" s="1"/>
  <c r="K46" i="41" s="1"/>
  <c r="H20" i="40" s="1"/>
  <c r="E87" i="38"/>
  <c r="G87" i="38" s="1"/>
  <c r="G88" i="38" s="1"/>
  <c r="I88" i="38" s="1"/>
  <c r="E82" i="38"/>
  <c r="G82" i="38" s="1"/>
  <c r="G83" i="38" s="1"/>
  <c r="I83" i="38" s="1"/>
  <c r="E77" i="38"/>
  <c r="G77" i="38" s="1"/>
  <c r="G78" i="38" s="1"/>
  <c r="I78" i="38" s="1"/>
  <c r="E73" i="38"/>
  <c r="G73" i="38" s="1"/>
  <c r="G74" i="38" s="1"/>
  <c r="I74" i="38" s="1"/>
  <c r="E69" i="38"/>
  <c r="G69" i="38" s="1"/>
  <c r="G70" i="38" s="1"/>
  <c r="I70" i="38" s="1"/>
  <c r="E65" i="38"/>
  <c r="G65" i="38" s="1"/>
  <c r="G66" i="38" s="1"/>
  <c r="I66" i="38" s="1"/>
  <c r="E61" i="38"/>
  <c r="G61" i="38" s="1"/>
  <c r="G62" i="38" s="1"/>
  <c r="I62" i="38" s="1"/>
  <c r="E56" i="38"/>
  <c r="G56" i="38" s="1"/>
  <c r="G57" i="38" s="1"/>
  <c r="I57" i="38" s="1"/>
  <c r="E52" i="38"/>
  <c r="G52" i="38" s="1"/>
  <c r="G53" i="38" s="1"/>
  <c r="I53" i="38" s="1"/>
  <c r="D258" i="38"/>
  <c r="G258" i="38" s="1"/>
  <c r="K146" i="39" l="1"/>
  <c r="K93" i="39"/>
  <c r="H21" i="44" s="1"/>
  <c r="K50" i="39"/>
  <c r="K99" i="39"/>
  <c r="K103" i="39"/>
  <c r="K119" i="39"/>
  <c r="H23" i="44" s="1"/>
  <c r="K57" i="39"/>
  <c r="H17" i="44" s="1"/>
  <c r="K102" i="39"/>
  <c r="K57" i="43"/>
  <c r="H16" i="42" s="1"/>
  <c r="K34" i="48"/>
  <c r="K33" i="48"/>
  <c r="K99" i="43"/>
  <c r="K101" i="43"/>
  <c r="G229" i="38"/>
  <c r="H229" i="38" s="1"/>
  <c r="G149" i="38"/>
  <c r="I149" i="38" s="1"/>
  <c r="K24" i="41"/>
  <c r="K105" i="43"/>
  <c r="K104" i="43"/>
  <c r="I113" i="38"/>
  <c r="I141" i="38"/>
  <c r="G101" i="38"/>
  <c r="I101" i="38" s="1"/>
  <c r="G266" i="38"/>
  <c r="H266" i="38" s="1"/>
  <c r="G92" i="38"/>
  <c r="K26" i="39" s="1"/>
  <c r="K28" i="39" s="1"/>
  <c r="I124" i="43"/>
  <c r="K124" i="43" s="1"/>
  <c r="K126" i="43" s="1"/>
  <c r="H23" i="42" s="1"/>
  <c r="K92" i="43"/>
  <c r="K95" i="43" s="1"/>
  <c r="H20" i="42" s="1"/>
  <c r="G125" i="38"/>
  <c r="G165" i="38" s="1"/>
  <c r="K105" i="39"/>
  <c r="K106" i="39"/>
  <c r="I157" i="38"/>
  <c r="H16" i="44" l="1"/>
  <c r="K114" i="39"/>
  <c r="H22" i="44" s="1"/>
  <c r="K35" i="48"/>
  <c r="K27" i="41"/>
  <c r="H16" i="40" s="1"/>
  <c r="H29" i="40" s="1"/>
  <c r="G26" i="3" s="1"/>
  <c r="K107" i="43"/>
  <c r="H21" i="42" s="1"/>
  <c r="H29" i="42" s="1"/>
  <c r="G17" i="3" s="1"/>
  <c r="G105" i="38"/>
  <c r="H15" i="44"/>
  <c r="H29" i="44" l="1"/>
  <c r="G22" i="3" s="1"/>
  <c r="H16" i="47"/>
  <c r="K75" i="48"/>
  <c r="K153" i="43"/>
  <c r="K88" i="41"/>
  <c r="B81" i="30"/>
  <c r="B82" i="30" s="1"/>
  <c r="B83" i="30" s="1"/>
  <c r="B84" i="30" s="1"/>
  <c r="B85" i="30" s="1"/>
  <c r="B86" i="30" s="1"/>
  <c r="B87" i="30" s="1"/>
  <c r="B88" i="30" s="1"/>
  <c r="B89" i="30" s="1"/>
  <c r="K84" i="30"/>
  <c r="K83" i="30"/>
  <c r="K82" i="30"/>
  <c r="V81" i="30"/>
  <c r="V80" i="30"/>
  <c r="V79" i="30"/>
  <c r="T78" i="30"/>
  <c r="V78" i="30" s="1"/>
  <c r="T77" i="30"/>
  <c r="V77" i="30" s="1"/>
  <c r="T76" i="30"/>
  <c r="V76" i="30" s="1"/>
  <c r="T75" i="30"/>
  <c r="V75" i="30" s="1"/>
  <c r="V74" i="30"/>
  <c r="T73" i="30"/>
  <c r="V73" i="30" s="1"/>
  <c r="H35" i="25"/>
  <c r="C21" i="34"/>
  <c r="C20" i="34"/>
  <c r="I7" i="30"/>
  <c r="C13" i="34"/>
  <c r="K117" i="26"/>
  <c r="H24" i="33" s="1"/>
  <c r="K132" i="26"/>
  <c r="B74" i="26"/>
  <c r="B75" i="26" s="1"/>
  <c r="B76" i="26" s="1"/>
  <c r="B77" i="26" s="1"/>
  <c r="B78" i="26" s="1"/>
  <c r="B79" i="26" s="1"/>
  <c r="I7" i="26"/>
  <c r="C13" i="33"/>
  <c r="I7" i="27"/>
  <c r="C13" i="32"/>
  <c r="B83" i="27"/>
  <c r="B84" i="27" s="1"/>
  <c r="B85" i="27" s="1"/>
  <c r="B72" i="27"/>
  <c r="B73" i="27" s="1"/>
  <c r="B46" i="27"/>
  <c r="C9" i="31"/>
  <c r="D9" i="31"/>
  <c r="E9" i="31"/>
  <c r="F15" i="31"/>
  <c r="I20" i="31"/>
  <c r="C28" i="31"/>
  <c r="C36" i="31" s="1"/>
  <c r="F36" i="31" s="1"/>
  <c r="C30" i="31"/>
  <c r="F30" i="31" s="1"/>
  <c r="C32" i="31"/>
  <c r="F32" i="31" s="1"/>
  <c r="F33" i="31"/>
  <c r="F34" i="31"/>
  <c r="F35" i="31"/>
  <c r="F37" i="31"/>
  <c r="C38" i="31"/>
  <c r="F38" i="31" s="1"/>
  <c r="C39" i="31"/>
  <c r="F39" i="31"/>
  <c r="C40" i="31"/>
  <c r="F40" i="31" s="1"/>
  <c r="K13" i="30"/>
  <c r="B14" i="30"/>
  <c r="B15" i="30" s="1"/>
  <c r="B16" i="30" s="1"/>
  <c r="K14" i="30"/>
  <c r="K15" i="30"/>
  <c r="K16" i="30"/>
  <c r="K17" i="30"/>
  <c r="B22" i="30"/>
  <c r="B23" i="30" s="1"/>
  <c r="B24" i="30" s="1"/>
  <c r="B25" i="30" s="1"/>
  <c r="K22" i="30"/>
  <c r="K24" i="30"/>
  <c r="K26" i="30"/>
  <c r="B31" i="30"/>
  <c r="B32" i="30" s="1"/>
  <c r="K41" i="30"/>
  <c r="B51" i="30"/>
  <c r="K51" i="30"/>
  <c r="K52" i="30"/>
  <c r="B60" i="30"/>
  <c r="B61" i="30" s="1"/>
  <c r="B62" i="30" s="1"/>
  <c r="B63" i="30" s="1"/>
  <c r="B64" i="30" s="1"/>
  <c r="B65" i="30" s="1"/>
  <c r="B66" i="30" s="1"/>
  <c r="B67" i="30" s="1"/>
  <c r="K62" i="30"/>
  <c r="K63" i="30"/>
  <c r="K64" i="30"/>
  <c r="K65" i="30"/>
  <c r="K67" i="30"/>
  <c r="B72" i="30"/>
  <c r="B73" i="30" s="1"/>
  <c r="B74" i="30" s="1"/>
  <c r="K75" i="30"/>
  <c r="K76" i="30"/>
  <c r="K80" i="30"/>
  <c r="K81" i="30"/>
  <c r="K85" i="30"/>
  <c r="K86" i="30"/>
  <c r="K87" i="30"/>
  <c r="K88" i="30"/>
  <c r="K89" i="30"/>
  <c r="B112" i="30"/>
  <c r="B113" i="30" s="1"/>
  <c r="B114" i="30" s="1"/>
  <c r="B115" i="30" s="1"/>
  <c r="B116" i="30" s="1"/>
  <c r="K112" i="30"/>
  <c r="K113" i="30"/>
  <c r="K114" i="30"/>
  <c r="K115" i="30"/>
  <c r="K116" i="30"/>
  <c r="H10" i="29"/>
  <c r="B11" i="29"/>
  <c r="H11" i="29"/>
  <c r="B12" i="29"/>
  <c r="H12" i="29"/>
  <c r="B13" i="29"/>
  <c r="B14" i="29" s="1"/>
  <c r="H13" i="29"/>
  <c r="H14" i="29"/>
  <c r="B19" i="29"/>
  <c r="G19" i="29"/>
  <c r="G54" i="29" s="1"/>
  <c r="B20" i="29"/>
  <c r="G20" i="29"/>
  <c r="B26" i="29"/>
  <c r="F26" i="29"/>
  <c r="G30" i="29"/>
  <c r="B31" i="29"/>
  <c r="G31" i="29"/>
  <c r="H31" i="29" s="1"/>
  <c r="G35" i="29"/>
  <c r="G36" i="29" s="1"/>
  <c r="H36" i="29" s="1"/>
  <c r="B37" i="29"/>
  <c r="H37" i="29"/>
  <c r="H41" i="29"/>
  <c r="B42" i="29"/>
  <c r="F42" i="29"/>
  <c r="G42" i="29"/>
  <c r="B43" i="29"/>
  <c r="B44" i="29" s="1"/>
  <c r="H43" i="29"/>
  <c r="H44" i="29"/>
  <c r="F48" i="29"/>
  <c r="G48" i="29"/>
  <c r="H48" i="29" s="1"/>
  <c r="F53" i="29"/>
  <c r="H53" i="29" s="1"/>
  <c r="F54" i="29"/>
  <c r="F55" i="29"/>
  <c r="G55" i="29"/>
  <c r="G57" i="29"/>
  <c r="H57" i="29" s="1"/>
  <c r="G58" i="29"/>
  <c r="H58" i="29" s="1"/>
  <c r="G59" i="29"/>
  <c r="H59" i="29" s="1"/>
  <c r="H60" i="29"/>
  <c r="F64" i="29"/>
  <c r="H64" i="29" s="1"/>
  <c r="H66" i="29"/>
  <c r="H67" i="29"/>
  <c r="G71" i="29"/>
  <c r="G72" i="29"/>
  <c r="H72" i="29" s="1"/>
  <c r="H73" i="29"/>
  <c r="H76" i="29"/>
  <c r="H77" i="29"/>
  <c r="H78" i="29"/>
  <c r="H79" i="29"/>
  <c r="H80" i="29"/>
  <c r="H81" i="29"/>
  <c r="H82" i="29"/>
  <c r="H83" i="29"/>
  <c r="H86" i="29"/>
  <c r="H87" i="29"/>
  <c r="H88" i="29"/>
  <c r="H89" i="29"/>
  <c r="H93" i="29"/>
  <c r="H94" i="29"/>
  <c r="B95" i="29"/>
  <c r="H95" i="29"/>
  <c r="B14" i="27"/>
  <c r="B15" i="27" s="1"/>
  <c r="B16" i="27" s="1"/>
  <c r="K13" i="27"/>
  <c r="K14" i="27"/>
  <c r="K15" i="27"/>
  <c r="K16" i="27"/>
  <c r="B21" i="27"/>
  <c r="B22" i="27" s="1"/>
  <c r="B23" i="27" s="1"/>
  <c r="B24" i="27" s="1"/>
  <c r="B28" i="27"/>
  <c r="B29" i="27" s="1"/>
  <c r="B30" i="27" s="1"/>
  <c r="B31" i="27" s="1"/>
  <c r="B32" i="27" s="1"/>
  <c r="B33" i="27" s="1"/>
  <c r="B34" i="27" s="1"/>
  <c r="B38" i="27"/>
  <c r="B39" i="27" s="1"/>
  <c r="B40" i="27" s="1"/>
  <c r="B41" i="27" s="1"/>
  <c r="B42" i="27" s="1"/>
  <c r="K46" i="27"/>
  <c r="B51" i="27"/>
  <c r="B52" i="27" s="1"/>
  <c r="B53" i="27" s="1"/>
  <c r="B54" i="27" s="1"/>
  <c r="B55" i="27" s="1"/>
  <c r="K52" i="27"/>
  <c r="K63" i="27"/>
  <c r="B64" i="27"/>
  <c r="B65" i="27" s="1"/>
  <c r="B66" i="27" s="1"/>
  <c r="B67" i="27" s="1"/>
  <c r="K67" i="27"/>
  <c r="K68" i="27"/>
  <c r="K71" i="27"/>
  <c r="K72" i="27"/>
  <c r="K73" i="27"/>
  <c r="K82" i="27"/>
  <c r="K83" i="27"/>
  <c r="K84" i="27"/>
  <c r="K85" i="27"/>
  <c r="K89" i="27"/>
  <c r="K90" i="27"/>
  <c r="K91" i="27"/>
  <c r="K95" i="27"/>
  <c r="B96" i="27"/>
  <c r="B97" i="27" s="1"/>
  <c r="K96" i="27"/>
  <c r="K97" i="27"/>
  <c r="K98" i="27"/>
  <c r="K99" i="27"/>
  <c r="B14" i="26"/>
  <c r="B15" i="26" s="1"/>
  <c r="B16" i="26" s="1"/>
  <c r="B17" i="26" s="1"/>
  <c r="K17" i="26"/>
  <c r="B22" i="26"/>
  <c r="B23" i="26" s="1"/>
  <c r="B24" i="26" s="1"/>
  <c r="B25" i="26" s="1"/>
  <c r="B26" i="26" s="1"/>
  <c r="B27" i="26" s="1"/>
  <c r="K22" i="26"/>
  <c r="B32" i="26"/>
  <c r="B33" i="26" s="1"/>
  <c r="B34" i="26" s="1"/>
  <c r="B35" i="26" s="1"/>
  <c r="B36" i="26" s="1"/>
  <c r="B37" i="26" s="1"/>
  <c r="B38" i="26" s="1"/>
  <c r="B44" i="26"/>
  <c r="K49" i="26"/>
  <c r="B54" i="26"/>
  <c r="B55" i="26" s="1"/>
  <c r="B56" i="26" s="1"/>
  <c r="B57" i="26" s="1"/>
  <c r="B58" i="26" s="1"/>
  <c r="B59" i="26" s="1"/>
  <c r="B60" i="26" s="1"/>
  <c r="B61" i="26" s="1"/>
  <c r="B62" i="26" s="1"/>
  <c r="B63" i="26" s="1"/>
  <c r="K55" i="26"/>
  <c r="K56" i="26"/>
  <c r="K57" i="26"/>
  <c r="J62" i="26"/>
  <c r="K63" i="26"/>
  <c r="B84" i="26"/>
  <c r="B85" i="26" s="1"/>
  <c r="B86" i="26" s="1"/>
  <c r="B87" i="26" s="1"/>
  <c r="B88" i="26" s="1"/>
  <c r="B89" i="26" s="1"/>
  <c r="B90" i="26" s="1"/>
  <c r="B91" i="26" s="1"/>
  <c r="B92" i="26" s="1"/>
  <c r="B93" i="26" s="1"/>
  <c r="B94" i="26" s="1"/>
  <c r="B95" i="26" s="1"/>
  <c r="B96" i="26" s="1"/>
  <c r="B97" i="26" s="1"/>
  <c r="B98" i="26" s="1"/>
  <c r="B99" i="26" s="1"/>
  <c r="B100" i="26" s="1"/>
  <c r="B101" i="26" s="1"/>
  <c r="B102" i="26" s="1"/>
  <c r="B103" i="26" s="1"/>
  <c r="K99" i="26"/>
  <c r="K100" i="26"/>
  <c r="K101" i="26"/>
  <c r="K102" i="26"/>
  <c r="K103" i="26"/>
  <c r="K128" i="26"/>
  <c r="B129" i="26"/>
  <c r="B130" i="26" s="1"/>
  <c r="B131" i="26" s="1"/>
  <c r="K129" i="26"/>
  <c r="K130" i="26"/>
  <c r="K131" i="26"/>
  <c r="E1" i="25"/>
  <c r="E3" i="25" s="1"/>
  <c r="E2" i="25"/>
  <c r="C5" i="25"/>
  <c r="E5" i="25" s="1"/>
  <c r="C9" i="25"/>
  <c r="E9" i="25" s="1"/>
  <c r="C13" i="25"/>
  <c r="C14" i="25" s="1"/>
  <c r="E14" i="25" s="1"/>
  <c r="C17" i="25"/>
  <c r="C18" i="25" s="1"/>
  <c r="E18" i="25" s="1"/>
  <c r="C20" i="25"/>
  <c r="C21" i="25" s="1"/>
  <c r="E21" i="25" s="1"/>
  <c r="C23" i="25"/>
  <c r="E23" i="25" s="1"/>
  <c r="C24" i="25"/>
  <c r="E24" i="25" s="1"/>
  <c r="C26" i="25"/>
  <c r="E26" i="25" s="1"/>
  <c r="C27" i="25"/>
  <c r="E27" i="25" s="1"/>
  <c r="C31" i="25"/>
  <c r="C32" i="25" s="1"/>
  <c r="E32" i="25" s="1"/>
  <c r="C35" i="25"/>
  <c r="E35" i="25" s="1"/>
  <c r="C39" i="25"/>
  <c r="E39" i="25" s="1"/>
  <c r="C42" i="25"/>
  <c r="E42" i="25" s="1"/>
  <c r="C43" i="25"/>
  <c r="E43" i="25" s="1"/>
  <c r="C45" i="25"/>
  <c r="C46" i="25" s="1"/>
  <c r="E46" i="25" s="1"/>
  <c r="C49" i="25"/>
  <c r="C50" i="25" s="1"/>
  <c r="E50" i="25" s="1"/>
  <c r="C53" i="25"/>
  <c r="E53" i="25" s="1"/>
  <c r="C54" i="25"/>
  <c r="E54" i="25" s="1"/>
  <c r="C58" i="25"/>
  <c r="E58" i="25" s="1"/>
  <c r="C59" i="25"/>
  <c r="E59" i="25" s="1"/>
  <c r="K2" i="24"/>
  <c r="K5" i="24" s="1"/>
  <c r="N5" i="24" s="1"/>
  <c r="D5" i="24"/>
  <c r="D6" i="24"/>
  <c r="E7" i="24"/>
  <c r="K7" i="24"/>
  <c r="N7" i="24" s="1"/>
  <c r="N8" i="24"/>
  <c r="N9" i="24"/>
  <c r="N11" i="24"/>
  <c r="K13" i="24"/>
  <c r="N13" i="24" s="1"/>
  <c r="K15" i="24"/>
  <c r="N15" i="24" s="1"/>
  <c r="D22" i="24"/>
  <c r="G22" i="24" s="1"/>
  <c r="F18" i="29" s="1"/>
  <c r="H18" i="29" s="1"/>
  <c r="E23" i="24"/>
  <c r="H25" i="24"/>
  <c r="F25" i="29" s="1"/>
  <c r="F28" i="24"/>
  <c r="J28" i="24"/>
  <c r="F29" i="24"/>
  <c r="F30" i="24" s="1"/>
  <c r="F63" i="29" s="1"/>
  <c r="H63" i="29" s="1"/>
  <c r="J29" i="24"/>
  <c r="J30" i="24"/>
  <c r="F32" i="24"/>
  <c r="K32" i="24"/>
  <c r="F33" i="24"/>
  <c r="F37" i="24"/>
  <c r="G38" i="24"/>
  <c r="D116" i="24"/>
  <c r="G116" i="24" s="1"/>
  <c r="G118" i="24"/>
  <c r="H120" i="24" s="1"/>
  <c r="G119" i="24"/>
  <c r="F126" i="24"/>
  <c r="G131" i="24" s="1"/>
  <c r="G121" i="24" s="1"/>
  <c r="F127" i="24"/>
  <c r="F128" i="24"/>
  <c r="F129" i="24"/>
  <c r="F130" i="24"/>
  <c r="G133" i="24"/>
  <c r="G134" i="24"/>
  <c r="G135" i="24"/>
  <c r="G136" i="24"/>
  <c r="F138" i="24"/>
  <c r="F140" i="24" s="1"/>
  <c r="H140" i="24" s="1"/>
  <c r="G144" i="24"/>
  <c r="G145" i="24"/>
  <c r="G146" i="24"/>
  <c r="I148" i="24"/>
  <c r="H151" i="24"/>
  <c r="D153" i="24"/>
  <c r="D157" i="24" s="1"/>
  <c r="G157" i="24" s="1"/>
  <c r="G158" i="24"/>
  <c r="G159" i="24"/>
  <c r="G160" i="24"/>
  <c r="G162" i="24"/>
  <c r="D164" i="24"/>
  <c r="G164" i="24" s="1"/>
  <c r="G165" i="24"/>
  <c r="D169" i="24"/>
  <c r="G174" i="24"/>
  <c r="G175" i="24"/>
  <c r="G177" i="24"/>
  <c r="D179" i="24"/>
  <c r="G179" i="24" s="1"/>
  <c r="D180" i="24"/>
  <c r="G180" i="24" s="1"/>
  <c r="D5" i="23"/>
  <c r="D6" i="23"/>
  <c r="E7" i="23" s="1"/>
  <c r="I12" i="23"/>
  <c r="D13" i="23"/>
  <c r="F13" i="23"/>
  <c r="I14" i="23"/>
  <c r="I15" i="23"/>
  <c r="I16" i="23"/>
  <c r="D17" i="23"/>
  <c r="F17" i="23"/>
  <c r="I18" i="23"/>
  <c r="F21" i="23"/>
  <c r="I23" i="23"/>
  <c r="D24" i="23"/>
  <c r="F25" i="23"/>
  <c r="F26" i="23"/>
  <c r="H30" i="23"/>
  <c r="H31" i="23"/>
  <c r="H32" i="23"/>
  <c r="H33" i="23"/>
  <c r="K40" i="23"/>
  <c r="J41" i="23"/>
  <c r="K41" i="23" s="1"/>
  <c r="D49" i="23"/>
  <c r="D51" i="23" s="1"/>
  <c r="G51" i="23" s="1"/>
  <c r="G53" i="23"/>
  <c r="D55" i="23"/>
  <c r="D135" i="23"/>
  <c r="G135" i="23" s="1"/>
  <c r="G137" i="23"/>
  <c r="H139" i="23" s="1"/>
  <c r="G138" i="23"/>
  <c r="F145" i="23"/>
  <c r="F146" i="23"/>
  <c r="F147" i="23"/>
  <c r="F148" i="23"/>
  <c r="F149" i="23"/>
  <c r="G152" i="23"/>
  <c r="G153" i="23"/>
  <c r="G154" i="23"/>
  <c r="G155" i="23"/>
  <c r="F157" i="23"/>
  <c r="F159" i="23" s="1"/>
  <c r="H159" i="23" s="1"/>
  <c r="G163" i="23"/>
  <c r="I163" i="23" s="1"/>
  <c r="G164" i="23"/>
  <c r="I164" i="23" s="1"/>
  <c r="G165" i="23"/>
  <c r="I165" i="23" s="1"/>
  <c r="J167" i="23" s="1"/>
  <c r="I166" i="23"/>
  <c r="H170" i="23"/>
  <c r="D172" i="23"/>
  <c r="D174" i="23"/>
  <c r="G174" i="23" s="1"/>
  <c r="D175" i="23"/>
  <c r="G175" i="23"/>
  <c r="D176" i="23"/>
  <c r="G176" i="23" s="1"/>
  <c r="G177" i="23"/>
  <c r="G178" i="23"/>
  <c r="G179" i="23"/>
  <c r="D180" i="23"/>
  <c r="G180" i="23"/>
  <c r="G181" i="23"/>
  <c r="D182" i="23"/>
  <c r="G182" i="23" s="1"/>
  <c r="D183" i="23"/>
  <c r="G183" i="23" s="1"/>
  <c r="G184" i="23"/>
  <c r="D185" i="23"/>
  <c r="G185" i="23"/>
  <c r="D188" i="23"/>
  <c r="D190" i="23" s="1"/>
  <c r="G190" i="23" s="1"/>
  <c r="D191" i="23"/>
  <c r="G191" i="23" s="1"/>
  <c r="D192" i="23"/>
  <c r="G192" i="23" s="1"/>
  <c r="G193" i="23"/>
  <c r="G194" i="23"/>
  <c r="D195" i="23"/>
  <c r="G195" i="23" s="1"/>
  <c r="G196" i="23"/>
  <c r="D198" i="23"/>
  <c r="G198" i="23" s="1"/>
  <c r="D199" i="23"/>
  <c r="G199" i="23" s="1"/>
  <c r="E5" i="22"/>
  <c r="E6" i="22"/>
  <c r="F7" i="22"/>
  <c r="J13" i="22"/>
  <c r="I14" i="22"/>
  <c r="J14" i="22" s="1"/>
  <c r="F29" i="22"/>
  <c r="G39" i="22"/>
  <c r="I45" i="22"/>
  <c r="G49" i="22"/>
  <c r="K49" i="22"/>
  <c r="D51" i="22"/>
  <c r="N51" i="22"/>
  <c r="O51" i="22"/>
  <c r="M52" i="22"/>
  <c r="O52" i="22" s="1"/>
  <c r="D53" i="22"/>
  <c r="G53" i="22" s="1"/>
  <c r="G55" i="22"/>
  <c r="D56" i="22"/>
  <c r="G56" i="22" s="1"/>
  <c r="M56" i="22"/>
  <c r="M57" i="22" s="1"/>
  <c r="O57" i="22" s="1"/>
  <c r="D57" i="22"/>
  <c r="G57" i="22"/>
  <c r="O59" i="22"/>
  <c r="M60" i="22"/>
  <c r="O60" i="22" s="1"/>
  <c r="F62" i="22"/>
  <c r="G62" i="22" s="1"/>
  <c r="D65" i="22"/>
  <c r="F65" i="22"/>
  <c r="E66" i="22"/>
  <c r="G66" i="22" s="1"/>
  <c r="G68" i="22"/>
  <c r="E69" i="22"/>
  <c r="G69" i="22" s="1"/>
  <c r="H70" i="22" s="1"/>
  <c r="K35" i="26" s="1"/>
  <c r="F76" i="22"/>
  <c r="G76" i="22" s="1"/>
  <c r="E77" i="22"/>
  <c r="G77" i="22" s="1"/>
  <c r="D79" i="22"/>
  <c r="F79" i="22"/>
  <c r="G79" i="22" s="1"/>
  <c r="E82" i="22"/>
  <c r="G82" i="22" s="1"/>
  <c r="D86" i="22"/>
  <c r="E86" i="22"/>
  <c r="D87" i="22"/>
  <c r="G87" i="22" s="1"/>
  <c r="D91" i="22"/>
  <c r="D93" i="22"/>
  <c r="D94" i="22"/>
  <c r="E97" i="22"/>
  <c r="K85" i="26" s="1"/>
  <c r="D105" i="22"/>
  <c r="E105" i="22"/>
  <c r="F105" i="22" s="1"/>
  <c r="D115" i="22"/>
  <c r="E115" i="22"/>
  <c r="F115" i="22" s="1"/>
  <c r="D117" i="22"/>
  <c r="D118" i="22"/>
  <c r="D119" i="22"/>
  <c r="E119" i="22"/>
  <c r="F119" i="22" s="1"/>
  <c r="D120" i="22"/>
  <c r="D121" i="22"/>
  <c r="E121" i="22"/>
  <c r="D122" i="22"/>
  <c r="D123" i="22"/>
  <c r="E123" i="22"/>
  <c r="F123" i="22" s="1"/>
  <c r="D124" i="22"/>
  <c r="D125" i="22"/>
  <c r="E125" i="22"/>
  <c r="D126" i="22"/>
  <c r="E139" i="22"/>
  <c r="E140" i="22" s="1"/>
  <c r="G140" i="22" s="1"/>
  <c r="E143" i="22"/>
  <c r="E147" i="22"/>
  <c r="G147" i="22" s="1"/>
  <c r="E148" i="22"/>
  <c r="G148" i="22" s="1"/>
  <c r="E151" i="22"/>
  <c r="G151" i="22" s="1"/>
  <c r="E154" i="22"/>
  <c r="G154" i="22" s="1"/>
  <c r="E157" i="22"/>
  <c r="G157" i="22" s="1"/>
  <c r="E158" i="22"/>
  <c r="G158" i="22" s="1"/>
  <c r="E160" i="22"/>
  <c r="G160" i="22" s="1"/>
  <c r="E161" i="22"/>
  <c r="G161" i="22" s="1"/>
  <c r="E165" i="22"/>
  <c r="E166" i="22" s="1"/>
  <c r="G166" i="22" s="1"/>
  <c r="G165" i="22"/>
  <c r="D169" i="22"/>
  <c r="D171" i="22" s="1"/>
  <c r="G171" i="22" s="1"/>
  <c r="D173" i="22"/>
  <c r="D176" i="22" s="1"/>
  <c r="D174" i="22"/>
  <c r="G174" i="22" s="1"/>
  <c r="D177" i="22"/>
  <c r="G177" i="22" s="1"/>
  <c r="D180" i="22"/>
  <c r="D181" i="22"/>
  <c r="G181" i="22" s="1"/>
  <c r="D182" i="22"/>
  <c r="G182" i="22" s="1"/>
  <c r="D183" i="22"/>
  <c r="G183" i="22" s="1"/>
  <c r="D184" i="22"/>
  <c r="G184" i="22" s="1"/>
  <c r="G185" i="22"/>
  <c r="D187" i="22"/>
  <c r="D188" i="22"/>
  <c r="G188" i="22" s="1"/>
  <c r="D191" i="22"/>
  <c r="D199" i="22" s="1"/>
  <c r="G199" i="22" s="1"/>
  <c r="D192" i="22"/>
  <c r="G192" i="22" s="1"/>
  <c r="D194" i="22"/>
  <c r="G194" i="22" s="1"/>
  <c r="D195" i="22"/>
  <c r="D196" i="22"/>
  <c r="G196" i="22" s="1"/>
  <c r="D202" i="22"/>
  <c r="G206" i="22"/>
  <c r="G207" i="22"/>
  <c r="D209" i="22"/>
  <c r="D208" i="22" s="1"/>
  <c r="G208" i="22" s="1"/>
  <c r="D212" i="22"/>
  <c r="D216" i="22" s="1"/>
  <c r="G216" i="22" s="1"/>
  <c r="D214" i="22"/>
  <c r="G214" i="22" s="1"/>
  <c r="D215" i="22"/>
  <c r="G215" i="22" s="1"/>
  <c r="G217" i="22"/>
  <c r="G218" i="22"/>
  <c r="G219" i="22"/>
  <c r="D220" i="22"/>
  <c r="G220" i="22" s="1"/>
  <c r="G221" i="22"/>
  <c r="D223" i="22"/>
  <c r="G223" i="22" s="1"/>
  <c r="D224" i="22"/>
  <c r="G224" i="22"/>
  <c r="D225" i="22"/>
  <c r="G225" i="22" s="1"/>
  <c r="D228" i="22"/>
  <c r="D233" i="22"/>
  <c r="G234" i="22"/>
  <c r="D235" i="22"/>
  <c r="G235" i="22"/>
  <c r="G237" i="22"/>
  <c r="D239" i="22"/>
  <c r="G239" i="22"/>
  <c r="K13" i="21"/>
  <c r="B14" i="21"/>
  <c r="B15" i="21" s="1"/>
  <c r="B16" i="21" s="1"/>
  <c r="B17" i="21" s="1"/>
  <c r="K14" i="21"/>
  <c r="K15" i="21"/>
  <c r="K16" i="21"/>
  <c r="K17" i="21"/>
  <c r="B24" i="21"/>
  <c r="B25" i="21" s="1"/>
  <c r="B30" i="21"/>
  <c r="B31" i="21" s="1"/>
  <c r="B32" i="21" s="1"/>
  <c r="B33" i="21" s="1"/>
  <c r="B34" i="21" s="1"/>
  <c r="B35" i="21" s="1"/>
  <c r="B36" i="21" s="1"/>
  <c r="B40" i="21"/>
  <c r="B41" i="21" s="1"/>
  <c r="B42" i="21" s="1"/>
  <c r="B43" i="21" s="1"/>
  <c r="B44" i="21" s="1"/>
  <c r="K48" i="21"/>
  <c r="K52" i="21"/>
  <c r="K55" i="21"/>
  <c r="K56" i="21"/>
  <c r="K60" i="21"/>
  <c r="K63" i="21" s="1"/>
  <c r="H20" i="68" s="1"/>
  <c r="K69" i="21"/>
  <c r="K72" i="21"/>
  <c r="K77" i="21"/>
  <c r="K79" i="21"/>
  <c r="K85" i="21"/>
  <c r="K105" i="21"/>
  <c r="K110" i="21" s="1"/>
  <c r="B106" i="21"/>
  <c r="B107" i="21" s="1"/>
  <c r="B108" i="21" s="1"/>
  <c r="D5" i="20"/>
  <c r="E7" i="20" s="1"/>
  <c r="D6" i="20"/>
  <c r="I12" i="20"/>
  <c r="I13" i="20"/>
  <c r="I14" i="20"/>
  <c r="I15" i="20"/>
  <c r="I16" i="20"/>
  <c r="I17" i="20"/>
  <c r="I21" i="20"/>
  <c r="I22" i="20"/>
  <c r="E24" i="20"/>
  <c r="H25" i="20" s="1"/>
  <c r="E26" i="20"/>
  <c r="G28" i="20"/>
  <c r="H28" i="20" s="1"/>
  <c r="K22" i="21" s="1"/>
  <c r="G29" i="20"/>
  <c r="H29" i="20"/>
  <c r="D31" i="20"/>
  <c r="D32" i="20"/>
  <c r="G32" i="20" s="1"/>
  <c r="D33" i="20"/>
  <c r="G33" i="20"/>
  <c r="D34" i="20"/>
  <c r="G34" i="20" s="1"/>
  <c r="G35" i="20"/>
  <c r="G36" i="20"/>
  <c r="D37" i="20"/>
  <c r="D36" i="20" s="1"/>
  <c r="G37" i="20"/>
  <c r="D38" i="20"/>
  <c r="G38" i="20" s="1"/>
  <c r="H42" i="20"/>
  <c r="H45" i="20"/>
  <c r="E46" i="20" s="1"/>
  <c r="H46" i="20" s="1"/>
  <c r="H47" i="20"/>
  <c r="E48" i="20" s="1"/>
  <c r="H48" i="20" s="1"/>
  <c r="E50" i="20"/>
  <c r="H50" i="20" s="1"/>
  <c r="E51" i="20"/>
  <c r="H51" i="20" s="1"/>
  <c r="G52" i="20"/>
  <c r="H53" i="20" s="1"/>
  <c r="E54" i="20"/>
  <c r="G54" i="20" s="1"/>
  <c r="H56" i="20"/>
  <c r="H57" i="20"/>
  <c r="H58" i="20"/>
  <c r="F59" i="20"/>
  <c r="H59" i="20" s="1"/>
  <c r="I60" i="20" s="1"/>
  <c r="H63" i="20"/>
  <c r="F66" i="20"/>
  <c r="G68" i="20"/>
  <c r="D69" i="20"/>
  <c r="E69" i="20"/>
  <c r="F69" i="20"/>
  <c r="D70" i="20"/>
  <c r="E70" i="20"/>
  <c r="F70" i="20"/>
  <c r="D71" i="20"/>
  <c r="E71" i="20"/>
  <c r="G71" i="20" s="1"/>
  <c r="G75" i="20"/>
  <c r="D78" i="20"/>
  <c r="F78" i="20" s="1"/>
  <c r="D79" i="20"/>
  <c r="F79" i="20" s="1"/>
  <c r="D80" i="20"/>
  <c r="F80" i="20" s="1"/>
  <c r="D161" i="20"/>
  <c r="G161" i="20"/>
  <c r="G163" i="20"/>
  <c r="G164" i="20"/>
  <c r="F171" i="20"/>
  <c r="F172" i="20"/>
  <c r="F173" i="20"/>
  <c r="F174" i="20"/>
  <c r="F175" i="20"/>
  <c r="G176" i="20"/>
  <c r="G166" i="20" s="1"/>
  <c r="G178" i="20"/>
  <c r="G179" i="20"/>
  <c r="G180" i="20"/>
  <c r="G181" i="20"/>
  <c r="F183" i="20"/>
  <c r="F185" i="20"/>
  <c r="H185" i="20" s="1"/>
  <c r="G189" i="20"/>
  <c r="I189" i="20" s="1"/>
  <c r="G190" i="20"/>
  <c r="I190" i="20" s="1"/>
  <c r="G191" i="20"/>
  <c r="I191" i="20" s="1"/>
  <c r="I192" i="20"/>
  <c r="H196" i="20"/>
  <c r="D198" i="20"/>
  <c r="D200" i="20"/>
  <c r="G200" i="20" s="1"/>
  <c r="D201" i="20"/>
  <c r="G201" i="20" s="1"/>
  <c r="D202" i="20"/>
  <c r="G202" i="20" s="1"/>
  <c r="G203" i="20"/>
  <c r="G204" i="20"/>
  <c r="G205" i="20"/>
  <c r="D206" i="20"/>
  <c r="G206" i="20" s="1"/>
  <c r="G207" i="20"/>
  <c r="D208" i="20"/>
  <c r="G208" i="20" s="1"/>
  <c r="D209" i="20"/>
  <c r="G209" i="20" s="1"/>
  <c r="G210" i="20"/>
  <c r="D211" i="20"/>
  <c r="G211" i="20" s="1"/>
  <c r="D214" i="20"/>
  <c r="D216" i="20"/>
  <c r="G216" i="20" s="1"/>
  <c r="D217" i="20"/>
  <c r="G217" i="20"/>
  <c r="D218" i="20"/>
  <c r="G218" i="20" s="1"/>
  <c r="G219" i="20"/>
  <c r="G220" i="20"/>
  <c r="D221" i="20"/>
  <c r="G221" i="20" s="1"/>
  <c r="G222" i="20"/>
  <c r="D223" i="20"/>
  <c r="G223" i="20" s="1"/>
  <c r="D224" i="20"/>
  <c r="G224" i="20"/>
  <c r="D225" i="20"/>
  <c r="G225" i="20"/>
  <c r="D226" i="20"/>
  <c r="G226" i="20"/>
  <c r="K19" i="30" l="1"/>
  <c r="K71" i="30"/>
  <c r="K91" i="30"/>
  <c r="H21" i="34" s="1"/>
  <c r="H26" i="68"/>
  <c r="H24" i="47"/>
  <c r="H26" i="47" s="1"/>
  <c r="G18" i="3" s="1"/>
  <c r="K134" i="26"/>
  <c r="H26" i="33" s="1"/>
  <c r="E27" i="20"/>
  <c r="H27" i="20" s="1"/>
  <c r="K23" i="21" s="1"/>
  <c r="H26" i="20"/>
  <c r="K21" i="21" s="1"/>
  <c r="G233" i="22"/>
  <c r="D240" i="22"/>
  <c r="G240" i="22" s="1"/>
  <c r="D205" i="22"/>
  <c r="G205" i="22" s="1"/>
  <c r="D203" i="22"/>
  <c r="G203" i="22" s="1"/>
  <c r="D204" i="22"/>
  <c r="G204" i="22" s="1"/>
  <c r="G195" i="22"/>
  <c r="D198" i="22"/>
  <c r="D197" i="22" s="1"/>
  <c r="G197" i="22" s="1"/>
  <c r="G143" i="22"/>
  <c r="E144" i="22"/>
  <c r="G144" i="22" s="1"/>
  <c r="G23" i="24"/>
  <c r="F20" i="29" s="1"/>
  <c r="D238" i="22"/>
  <c r="G238" i="22" s="1"/>
  <c r="D231" i="22"/>
  <c r="G231" i="22" s="1"/>
  <c r="D236" i="22"/>
  <c r="G236" i="22" s="1"/>
  <c r="D186" i="22"/>
  <c r="G186" i="22" s="1"/>
  <c r="G189" i="22" s="1"/>
  <c r="K24" i="26" s="1"/>
  <c r="G187" i="22"/>
  <c r="P53" i="22"/>
  <c r="K53" i="26" s="1"/>
  <c r="D54" i="22"/>
  <c r="G54" i="22" s="1"/>
  <c r="D52" i="22"/>
  <c r="G52" i="22" s="1"/>
  <c r="F44" i="25"/>
  <c r="F65" i="29"/>
  <c r="F55" i="25"/>
  <c r="F25" i="25"/>
  <c r="F7" i="25"/>
  <c r="H14" i="33"/>
  <c r="H96" i="29"/>
  <c r="J35" i="25"/>
  <c r="H39" i="25"/>
  <c r="J193" i="20"/>
  <c r="H165" i="20"/>
  <c r="G70" i="20"/>
  <c r="G69" i="20"/>
  <c r="K76" i="21" s="1"/>
  <c r="H167" i="22"/>
  <c r="H159" i="22"/>
  <c r="F125" i="22"/>
  <c r="F121" i="22"/>
  <c r="G86" i="22"/>
  <c r="H88" i="22" s="1"/>
  <c r="K84" i="26" s="1"/>
  <c r="G65" i="22"/>
  <c r="H67" i="22" s="1"/>
  <c r="K34" i="26" s="1"/>
  <c r="P61" i="22"/>
  <c r="K58" i="26" s="1"/>
  <c r="G150" i="23"/>
  <c r="G140" i="23" s="1"/>
  <c r="D52" i="23"/>
  <c r="G52" i="23" s="1"/>
  <c r="D50" i="23"/>
  <c r="G50" i="23" s="1"/>
  <c r="L42" i="23"/>
  <c r="I17" i="23"/>
  <c r="D156" i="24"/>
  <c r="G156" i="24" s="1"/>
  <c r="F34" i="24"/>
  <c r="H34" i="24" s="1"/>
  <c r="D23" i="24"/>
  <c r="D24" i="24" s="1"/>
  <c r="F60" i="25"/>
  <c r="E49" i="25"/>
  <c r="F51" i="25" s="1"/>
  <c r="E45" i="25"/>
  <c r="F47" i="25" s="1"/>
  <c r="C36" i="25"/>
  <c r="E36" i="25" s="1"/>
  <c r="F37" i="25" s="1"/>
  <c r="K59" i="30" s="1"/>
  <c r="E20" i="25"/>
  <c r="E17" i="25"/>
  <c r="F19" i="25" s="1"/>
  <c r="E13" i="25"/>
  <c r="F15" i="25" s="1"/>
  <c r="C6" i="25"/>
  <c r="E6" i="25" s="1"/>
  <c r="H42" i="29"/>
  <c r="H45" i="29" s="1"/>
  <c r="F9" i="31"/>
  <c r="G17" i="31" s="1"/>
  <c r="K19" i="21"/>
  <c r="H14" i="68" s="1"/>
  <c r="K78" i="21"/>
  <c r="K82" i="21" s="1"/>
  <c r="H22" i="68" s="1"/>
  <c r="K70" i="21"/>
  <c r="K54" i="21"/>
  <c r="I67" i="21"/>
  <c r="K67" i="21" s="1"/>
  <c r="K65" i="21"/>
  <c r="H54" i="29"/>
  <c r="H20" i="29"/>
  <c r="K73" i="30"/>
  <c r="K60" i="30"/>
  <c r="K30" i="30"/>
  <c r="K50" i="30"/>
  <c r="H18" i="34" s="1"/>
  <c r="K31" i="30"/>
  <c r="K72" i="30"/>
  <c r="K66" i="30"/>
  <c r="K32" i="30"/>
  <c r="K86" i="26"/>
  <c r="K88" i="26"/>
  <c r="K76" i="26"/>
  <c r="K39" i="26"/>
  <c r="K77" i="26"/>
  <c r="K87" i="26"/>
  <c r="K31" i="26"/>
  <c r="K40" i="21"/>
  <c r="K27" i="26"/>
  <c r="K23" i="30"/>
  <c r="K62" i="26"/>
  <c r="K79" i="26"/>
  <c r="K87" i="27"/>
  <c r="H35" i="32" s="1"/>
  <c r="B98" i="27"/>
  <c r="B99" i="27" s="1"/>
  <c r="K75" i="27"/>
  <c r="H31" i="32" s="1"/>
  <c r="K93" i="27"/>
  <c r="H37" i="32" s="1"/>
  <c r="K101" i="27"/>
  <c r="H39" i="32" s="1"/>
  <c r="K18" i="27"/>
  <c r="H15" i="32" s="1"/>
  <c r="K50" i="27"/>
  <c r="K78" i="27"/>
  <c r="K65" i="27"/>
  <c r="K64" i="27"/>
  <c r="K38" i="27"/>
  <c r="K71" i="21"/>
  <c r="K66" i="21"/>
  <c r="K36" i="26"/>
  <c r="K93" i="30"/>
  <c r="K24" i="21"/>
  <c r="K44" i="26"/>
  <c r="K32" i="26"/>
  <c r="K30" i="21"/>
  <c r="K33" i="30"/>
  <c r="K25" i="30"/>
  <c r="H55" i="29"/>
  <c r="H17" i="31"/>
  <c r="K20" i="27" s="1"/>
  <c r="G18" i="31"/>
  <c r="K21" i="27"/>
  <c r="C41" i="31"/>
  <c r="F41" i="31" s="1"/>
  <c r="C31" i="31"/>
  <c r="F31" i="31" s="1"/>
  <c r="G186" i="23"/>
  <c r="H186" i="23" s="1"/>
  <c r="H78" i="22"/>
  <c r="K37" i="26" s="1"/>
  <c r="D175" i="22"/>
  <c r="G175" i="22" s="1"/>
  <c r="G176" i="22"/>
  <c r="H81" i="22"/>
  <c r="K38" i="26" s="1"/>
  <c r="H162" i="22"/>
  <c r="H149" i="22"/>
  <c r="K15" i="22"/>
  <c r="D241" i="22"/>
  <c r="G241" i="22" s="1"/>
  <c r="D232" i="22"/>
  <c r="G232" i="22" s="1"/>
  <c r="G209" i="22"/>
  <c r="G198" i="22"/>
  <c r="D170" i="22"/>
  <c r="G170" i="22" s="1"/>
  <c r="E152" i="22"/>
  <c r="G152" i="22" s="1"/>
  <c r="H153" i="22" s="1"/>
  <c r="G139" i="22"/>
  <c r="H141" i="22" s="1"/>
  <c r="E63" i="22"/>
  <c r="G63" i="22" s="1"/>
  <c r="H64" i="22" s="1"/>
  <c r="K33" i="26" s="1"/>
  <c r="O56" i="22"/>
  <c r="F22" i="25"/>
  <c r="G173" i="22"/>
  <c r="K68" i="26"/>
  <c r="K70" i="26" s="1"/>
  <c r="H20" i="33" s="1"/>
  <c r="K43" i="26"/>
  <c r="K46" i="26" s="1"/>
  <c r="K73" i="26"/>
  <c r="K74" i="26"/>
  <c r="D193" i="22"/>
  <c r="G193" i="22" s="1"/>
  <c r="E155" i="22"/>
  <c r="G155" i="22" s="1"/>
  <c r="H156" i="22" s="1"/>
  <c r="E80" i="22"/>
  <c r="G80" i="22" s="1"/>
  <c r="D58" i="22"/>
  <c r="G58" i="22" s="1"/>
  <c r="G59" i="22" s="1"/>
  <c r="H59" i="22" s="1"/>
  <c r="K60" i="26"/>
  <c r="K59" i="26"/>
  <c r="I108" i="26"/>
  <c r="K108" i="26" s="1"/>
  <c r="G55" i="23"/>
  <c r="D54" i="23"/>
  <c r="G54" i="23" s="1"/>
  <c r="D230" i="22"/>
  <c r="G230" i="22" s="1"/>
  <c r="G242" i="22" s="1"/>
  <c r="H242" i="22" s="1"/>
  <c r="D172" i="22"/>
  <c r="G172" i="22" s="1"/>
  <c r="D200" i="23"/>
  <c r="G200" i="23" s="1"/>
  <c r="D197" i="23"/>
  <c r="G197" i="23" s="1"/>
  <c r="F28" i="25"/>
  <c r="H69" i="29"/>
  <c r="K97" i="26"/>
  <c r="E83" i="22"/>
  <c r="G83" i="22" s="1"/>
  <c r="H84" i="22" s="1"/>
  <c r="D173" i="24"/>
  <c r="G173" i="24" s="1"/>
  <c r="D171" i="24"/>
  <c r="G171" i="24" s="1"/>
  <c r="D176" i="24"/>
  <c r="G176" i="24" s="1"/>
  <c r="D181" i="24"/>
  <c r="G181" i="24" s="1"/>
  <c r="D172" i="24"/>
  <c r="G172" i="24" s="1"/>
  <c r="D178" i="24"/>
  <c r="G178" i="24" s="1"/>
  <c r="D222" i="22"/>
  <c r="G222" i="22" s="1"/>
  <c r="G226" i="22" s="1"/>
  <c r="H226" i="22" s="1"/>
  <c r="D210" i="22"/>
  <c r="G210" i="22" s="1"/>
  <c r="F29" i="23"/>
  <c r="H29" i="23" s="1"/>
  <c r="H34" i="23" s="1"/>
  <c r="D166" i="24"/>
  <c r="G166" i="24" s="1"/>
  <c r="D161" i="24"/>
  <c r="G161" i="24" s="1"/>
  <c r="G24" i="24"/>
  <c r="F24" i="29" s="1"/>
  <c r="K12" i="24"/>
  <c r="N12" i="24" s="1"/>
  <c r="K4" i="24"/>
  <c r="N4" i="24" s="1"/>
  <c r="E31" i="25"/>
  <c r="F33" i="25" s="1"/>
  <c r="H84" i="29"/>
  <c r="F19" i="29"/>
  <c r="H19" i="29" s="1"/>
  <c r="D155" i="24"/>
  <c r="G155" i="24" s="1"/>
  <c r="K78" i="26"/>
  <c r="K61" i="26"/>
  <c r="K6" i="24"/>
  <c r="N6" i="24" s="1"/>
  <c r="H16" i="29"/>
  <c r="K10" i="24"/>
  <c r="N10" i="24" s="1"/>
  <c r="H17" i="34"/>
  <c r="H38" i="24"/>
  <c r="K14" i="24"/>
  <c r="N14" i="24" s="1"/>
  <c r="K51" i="27"/>
  <c r="K101" i="30"/>
  <c r="H23" i="34" s="1"/>
  <c r="D56" i="23"/>
  <c r="G56" i="23" s="1"/>
  <c r="G57" i="23" s="1"/>
  <c r="H57" i="23" s="1"/>
  <c r="D163" i="24"/>
  <c r="G163" i="24" s="1"/>
  <c r="C40" i="25"/>
  <c r="E40" i="25" s="1"/>
  <c r="F41" i="25" s="1"/>
  <c r="C10" i="25"/>
  <c r="E10" i="25" s="1"/>
  <c r="F11" i="25" s="1"/>
  <c r="K75" i="26"/>
  <c r="H91" i="29"/>
  <c r="H50" i="29"/>
  <c r="K118" i="30"/>
  <c r="H25" i="34" s="1"/>
  <c r="G39" i="20"/>
  <c r="H39" i="20" s="1"/>
  <c r="K25" i="21" s="1"/>
  <c r="K39" i="21"/>
  <c r="K53" i="21"/>
  <c r="K58" i="21" s="1"/>
  <c r="G227" i="20"/>
  <c r="H227" i="20" s="1"/>
  <c r="G212" i="20"/>
  <c r="H212" i="20" s="1"/>
  <c r="E41" i="20"/>
  <c r="K45" i="21" l="1"/>
  <c r="K122" i="30"/>
  <c r="H14" i="34"/>
  <c r="H16" i="34"/>
  <c r="K81" i="26"/>
  <c r="K41" i="26"/>
  <c r="H17" i="33"/>
  <c r="K61" i="30"/>
  <c r="H19" i="34" s="1"/>
  <c r="G201" i="23"/>
  <c r="H201" i="23" s="1"/>
  <c r="G200" i="22"/>
  <c r="K25" i="26" s="1"/>
  <c r="G211" i="22"/>
  <c r="K26" i="26" s="1"/>
  <c r="F42" i="31"/>
  <c r="G42" i="31" s="1"/>
  <c r="D26" i="24"/>
  <c r="H26" i="24" s="1"/>
  <c r="D36" i="24"/>
  <c r="F36" i="24" s="1"/>
  <c r="F38" i="24" s="1"/>
  <c r="I38" i="24" s="1"/>
  <c r="F30" i="29" s="1"/>
  <c r="P58" i="22"/>
  <c r="K54" i="26" s="1"/>
  <c r="H145" i="22"/>
  <c r="K27" i="21"/>
  <c r="H15" i="68" s="1"/>
  <c r="H19" i="68"/>
  <c r="H17" i="68"/>
  <c r="K74" i="21"/>
  <c r="H21" i="68" s="1"/>
  <c r="K78" i="30"/>
  <c r="H20" i="34" s="1"/>
  <c r="H16" i="33"/>
  <c r="H22" i="29"/>
  <c r="H61" i="29"/>
  <c r="K95" i="30"/>
  <c r="H22" i="34" s="1"/>
  <c r="H21" i="33"/>
  <c r="K91" i="26"/>
  <c r="K66" i="27"/>
  <c r="K69" i="27" s="1"/>
  <c r="H29" i="32" s="1"/>
  <c r="K56" i="27"/>
  <c r="H25" i="32" s="1"/>
  <c r="K59" i="27"/>
  <c r="K61" i="27" s="1"/>
  <c r="H27" i="32" s="1"/>
  <c r="K28" i="27"/>
  <c r="G19" i="31"/>
  <c r="F23" i="31"/>
  <c r="H23" i="31" s="1"/>
  <c r="H18" i="31"/>
  <c r="K22" i="27" s="1"/>
  <c r="K25" i="27" s="1"/>
  <c r="H17" i="32" s="1"/>
  <c r="K27" i="27"/>
  <c r="K48" i="26"/>
  <c r="K51" i="26" s="1"/>
  <c r="H18" i="33" s="1"/>
  <c r="I107" i="26"/>
  <c r="K107" i="26" s="1"/>
  <c r="K110" i="26" s="1"/>
  <c r="H23" i="33" s="1"/>
  <c r="N16" i="24"/>
  <c r="O16" i="24" s="1"/>
  <c r="G24" i="29" s="1"/>
  <c r="G25" i="29" s="1"/>
  <c r="K95" i="26"/>
  <c r="G178" i="22"/>
  <c r="K23" i="26" s="1"/>
  <c r="K93" i="26"/>
  <c r="G167" i="24"/>
  <c r="H167" i="24" s="1"/>
  <c r="H24" i="29"/>
  <c r="G182" i="24"/>
  <c r="H182" i="24" s="1"/>
  <c r="K90" i="26"/>
  <c r="K89" i="26"/>
  <c r="H41" i="20"/>
  <c r="K29" i="21" s="1"/>
  <c r="E43" i="20"/>
  <c r="H43" i="20" s="1"/>
  <c r="K31" i="21" s="1"/>
  <c r="K47" i="21"/>
  <c r="K84" i="21"/>
  <c r="K87" i="21" s="1"/>
  <c r="H23" i="68" s="1"/>
  <c r="H18" i="68" l="1"/>
  <c r="K50" i="21"/>
  <c r="K37" i="21"/>
  <c r="K113" i="21" s="1"/>
  <c r="K65" i="26"/>
  <c r="H19" i="33" s="1"/>
  <c r="K30" i="27"/>
  <c r="H30" i="29"/>
  <c r="F35" i="29"/>
  <c r="H35" i="29" s="1"/>
  <c r="K37" i="27"/>
  <c r="H19" i="31"/>
  <c r="G21" i="31"/>
  <c r="H21" i="31" s="1"/>
  <c r="K29" i="27" s="1"/>
  <c r="R110" i="26"/>
  <c r="F71" i="29"/>
  <c r="H71" i="29" s="1"/>
  <c r="K92" i="26"/>
  <c r="G26" i="29"/>
  <c r="H26" i="29" s="1"/>
  <c r="H25" i="29"/>
  <c r="H33" i="29"/>
  <c r="H16" i="68" l="1"/>
  <c r="K43" i="27"/>
  <c r="H21" i="32" s="1"/>
  <c r="K31" i="27"/>
  <c r="H29" i="68"/>
  <c r="H31" i="68" s="1"/>
  <c r="G19" i="3" s="1"/>
  <c r="K45" i="27"/>
  <c r="K77" i="27"/>
  <c r="K80" i="27" s="1"/>
  <c r="H33" i="32" s="1"/>
  <c r="K94" i="26"/>
  <c r="H39" i="29"/>
  <c r="H28" i="29"/>
  <c r="H74" i="29"/>
  <c r="O74" i="29" s="1"/>
  <c r="H23" i="32" l="1"/>
  <c r="K48" i="27"/>
  <c r="K32" i="27"/>
  <c r="H97" i="29"/>
  <c r="H105" i="29" s="1"/>
  <c r="Q80" i="27"/>
  <c r="K98" i="26"/>
  <c r="K96" i="26"/>
  <c r="K34" i="27" l="1"/>
  <c r="K33" i="27"/>
  <c r="K105" i="26"/>
  <c r="H22" i="33" s="1"/>
  <c r="I26" i="29"/>
  <c r="I79" i="29"/>
  <c r="I72" i="29"/>
  <c r="I35" i="29"/>
  <c r="I59" i="29"/>
  <c r="I71" i="29"/>
  <c r="I18" i="29"/>
  <c r="I88" i="29"/>
  <c r="I42" i="29"/>
  <c r="I12" i="29"/>
  <c r="I94" i="29"/>
  <c r="I19" i="29"/>
  <c r="I11" i="29"/>
  <c r="I31" i="29"/>
  <c r="I60" i="29"/>
  <c r="I14" i="29"/>
  <c r="I10" i="29"/>
  <c r="I93" i="29"/>
  <c r="I63" i="29"/>
  <c r="I44" i="29"/>
  <c r="I77" i="29"/>
  <c r="I66" i="29"/>
  <c r="I87" i="29"/>
  <c r="I81" i="29"/>
  <c r="I41" i="29"/>
  <c r="I48" i="29"/>
  <c r="I50" i="29" s="1"/>
  <c r="I89" i="29"/>
  <c r="I82" i="29"/>
  <c r="I78" i="29"/>
  <c r="I73" i="29"/>
  <c r="I36" i="29"/>
  <c r="I53" i="29"/>
  <c r="I57" i="29"/>
  <c r="I86" i="29"/>
  <c r="I76" i="29"/>
  <c r="I55" i="29"/>
  <c r="I25" i="29"/>
  <c r="I20" i="29"/>
  <c r="I13" i="29"/>
  <c r="I37" i="29"/>
  <c r="I67" i="29"/>
  <c r="I43" i="29"/>
  <c r="I80" i="29"/>
  <c r="I30" i="29"/>
  <c r="I54" i="29"/>
  <c r="I24" i="29"/>
  <c r="I58" i="29"/>
  <c r="I64" i="29"/>
  <c r="I83" i="29"/>
  <c r="I95" i="29"/>
  <c r="K35" i="27" l="1"/>
  <c r="K104" i="27" s="1"/>
  <c r="I74" i="29"/>
  <c r="I33" i="29"/>
  <c r="I16" i="29"/>
  <c r="I96" i="29"/>
  <c r="I91" i="29"/>
  <c r="I45" i="29"/>
  <c r="I84" i="29"/>
  <c r="I61" i="29"/>
  <c r="I39" i="29"/>
  <c r="I69" i="29"/>
  <c r="I28" i="29"/>
  <c r="I22" i="29"/>
  <c r="H19" i="32" l="1"/>
  <c r="I97" i="29"/>
  <c r="I6" i="17"/>
  <c r="I7" i="13"/>
  <c r="I7" i="15"/>
  <c r="H37" i="18"/>
  <c r="K68" i="19"/>
  <c r="H35" i="18" s="1"/>
  <c r="K61" i="19"/>
  <c r="B61" i="19"/>
  <c r="K60" i="19"/>
  <c r="K57" i="19"/>
  <c r="K56" i="19"/>
  <c r="K55" i="19"/>
  <c r="B55" i="19"/>
  <c r="B56" i="19" s="1"/>
  <c r="B57" i="19" s="1"/>
  <c r="K54" i="19"/>
  <c r="K51" i="19"/>
  <c r="K50" i="19"/>
  <c r="K49" i="19"/>
  <c r="B49" i="19"/>
  <c r="B50" i="19" s="1"/>
  <c r="B51" i="19" s="1"/>
  <c r="K48" i="19"/>
  <c r="K45" i="19"/>
  <c r="K44" i="19"/>
  <c r="K43" i="19"/>
  <c r="K42" i="19"/>
  <c r="B42" i="19"/>
  <c r="B43" i="19" s="1"/>
  <c r="B44" i="19" s="1"/>
  <c r="B45" i="19" s="1"/>
  <c r="K39" i="19"/>
  <c r="K40" i="19" s="1"/>
  <c r="H25" i="18" s="1"/>
  <c r="K35" i="19"/>
  <c r="B35" i="19"/>
  <c r="K34" i="19"/>
  <c r="K36" i="19" s="1"/>
  <c r="H23" i="18" s="1"/>
  <c r="K31" i="19"/>
  <c r="K32" i="19" s="1"/>
  <c r="H21" i="18" s="1"/>
  <c r="K28" i="19"/>
  <c r="C28" i="19"/>
  <c r="K27" i="19"/>
  <c r="K26" i="19"/>
  <c r="B26" i="19"/>
  <c r="B27" i="19" s="1"/>
  <c r="B28" i="19" s="1"/>
  <c r="K25" i="19"/>
  <c r="K29" i="19" s="1"/>
  <c r="H19" i="18" s="1"/>
  <c r="K21" i="19"/>
  <c r="B21" i="19"/>
  <c r="K20" i="19"/>
  <c r="K22" i="19" s="1"/>
  <c r="H17" i="18" s="1"/>
  <c r="K17" i="19"/>
  <c r="K16" i="19"/>
  <c r="B16" i="19"/>
  <c r="B17" i="19" s="1"/>
  <c r="K15" i="19"/>
  <c r="C37" i="18"/>
  <c r="C35" i="18"/>
  <c r="C33" i="18"/>
  <c r="C31" i="18"/>
  <c r="C29" i="18"/>
  <c r="C27" i="18"/>
  <c r="C25" i="18"/>
  <c r="C23" i="18"/>
  <c r="C21" i="18"/>
  <c r="C19" i="18"/>
  <c r="C17" i="18"/>
  <c r="C15" i="18"/>
  <c r="C13" i="18"/>
  <c r="K79" i="17"/>
  <c r="K78" i="17"/>
  <c r="K77" i="17"/>
  <c r="K76" i="17"/>
  <c r="B76" i="17"/>
  <c r="B79" i="17" s="1"/>
  <c r="K75" i="17"/>
  <c r="K80" i="17" s="1"/>
  <c r="H39" i="16" s="1"/>
  <c r="K71" i="17"/>
  <c r="K70" i="17"/>
  <c r="K69" i="17"/>
  <c r="B69" i="17"/>
  <c r="B70" i="17" s="1"/>
  <c r="B71" i="17" s="1"/>
  <c r="K68" i="17"/>
  <c r="K65" i="17"/>
  <c r="K64" i="17"/>
  <c r="B64" i="17"/>
  <c r="B65" i="17" s="1"/>
  <c r="K63" i="17"/>
  <c r="K66" i="17" s="1"/>
  <c r="H35" i="16" s="1"/>
  <c r="K60" i="17"/>
  <c r="K59" i="17"/>
  <c r="K56" i="17"/>
  <c r="K55" i="17"/>
  <c r="B55" i="17"/>
  <c r="B56" i="17" s="1"/>
  <c r="K54" i="17"/>
  <c r="K53" i="17"/>
  <c r="K57" i="17" s="1"/>
  <c r="H31" i="16" s="1"/>
  <c r="K49" i="17"/>
  <c r="K47" i="17"/>
  <c r="K46" i="17"/>
  <c r="K45" i="17"/>
  <c r="K42" i="17"/>
  <c r="K43" i="17" s="1"/>
  <c r="H27" i="16" s="1"/>
  <c r="K39" i="17"/>
  <c r="K38" i="17"/>
  <c r="B38" i="17"/>
  <c r="K37" i="17"/>
  <c r="K40" i="17" s="1"/>
  <c r="H25" i="16" s="1"/>
  <c r="K34" i="17"/>
  <c r="B34" i="17"/>
  <c r="K33" i="17"/>
  <c r="K32" i="17"/>
  <c r="K35" i="17" s="1"/>
  <c r="H23" i="16" s="1"/>
  <c r="K29" i="17"/>
  <c r="B29" i="17"/>
  <c r="K28" i="17"/>
  <c r="K24" i="17"/>
  <c r="B24" i="17"/>
  <c r="K23" i="17"/>
  <c r="K22" i="17"/>
  <c r="K19" i="17"/>
  <c r="K18" i="17"/>
  <c r="B18" i="17"/>
  <c r="B19" i="17" s="1"/>
  <c r="K17" i="17"/>
  <c r="K14" i="17"/>
  <c r="K13" i="17"/>
  <c r="K12" i="17"/>
  <c r="B12" i="17"/>
  <c r="B13" i="17" s="1"/>
  <c r="B14" i="17" s="1"/>
  <c r="K11" i="17"/>
  <c r="C39" i="16"/>
  <c r="C37" i="16"/>
  <c r="C35" i="16"/>
  <c r="C33" i="16"/>
  <c r="C31" i="16"/>
  <c r="C29" i="16"/>
  <c r="C27" i="16"/>
  <c r="C25" i="16"/>
  <c r="C23" i="16"/>
  <c r="C21" i="16"/>
  <c r="C19" i="16"/>
  <c r="C17" i="16"/>
  <c r="C15" i="16"/>
  <c r="B4" i="16"/>
  <c r="C13" i="16" s="1"/>
  <c r="K59" i="15"/>
  <c r="K58" i="15"/>
  <c r="K57" i="15"/>
  <c r="K56" i="15"/>
  <c r="B56" i="15"/>
  <c r="B57" i="15" s="1"/>
  <c r="B58" i="15" s="1"/>
  <c r="B59" i="15" s="1"/>
  <c r="K55" i="15"/>
  <c r="K52" i="15"/>
  <c r="K53" i="15" s="1"/>
  <c r="H29" i="14" s="1"/>
  <c r="K49" i="15"/>
  <c r="K48" i="15"/>
  <c r="B48" i="15"/>
  <c r="B49" i="15" s="1"/>
  <c r="K47" i="15"/>
  <c r="K44" i="15"/>
  <c r="J43" i="15"/>
  <c r="B43" i="15"/>
  <c r="B44" i="15" s="1"/>
  <c r="K42" i="15"/>
  <c r="J38" i="15"/>
  <c r="K38" i="15" s="1"/>
  <c r="B38" i="15"/>
  <c r="K37" i="15"/>
  <c r="K34" i="15"/>
  <c r="J33" i="15"/>
  <c r="B33" i="15"/>
  <c r="B34" i="15" s="1"/>
  <c r="K32" i="15"/>
  <c r="K29" i="15"/>
  <c r="K28" i="15"/>
  <c r="K27" i="15"/>
  <c r="K26" i="15"/>
  <c r="B26" i="15"/>
  <c r="B27" i="15" s="1"/>
  <c r="B28" i="15" s="1"/>
  <c r="B29" i="15" s="1"/>
  <c r="K25" i="15"/>
  <c r="B21" i="15"/>
  <c r="K17" i="15"/>
  <c r="K16" i="15"/>
  <c r="B16" i="15"/>
  <c r="B17" i="15" s="1"/>
  <c r="B3" i="15"/>
  <c r="C31" i="14"/>
  <c r="C29" i="14"/>
  <c r="C27" i="14"/>
  <c r="C25" i="14"/>
  <c r="C23" i="14"/>
  <c r="C21" i="14"/>
  <c r="C19" i="14"/>
  <c r="C17" i="14"/>
  <c r="C15" i="14"/>
  <c r="C13" i="14"/>
  <c r="K42" i="13"/>
  <c r="B42" i="13"/>
  <c r="B43" i="13" s="1"/>
  <c r="K38" i="13"/>
  <c r="K37" i="13"/>
  <c r="K36" i="13"/>
  <c r="B36" i="13"/>
  <c r="B37" i="13" s="1"/>
  <c r="B38" i="13" s="1"/>
  <c r="K35" i="13"/>
  <c r="K32" i="13"/>
  <c r="B32" i="13"/>
  <c r="K31" i="13"/>
  <c r="K33" i="13" s="1"/>
  <c r="H21" i="12" s="1"/>
  <c r="K28" i="13"/>
  <c r="K27" i="13"/>
  <c r="K26" i="13"/>
  <c r="K25" i="13"/>
  <c r="B25" i="13"/>
  <c r="B26" i="13" s="1"/>
  <c r="B27" i="13" s="1"/>
  <c r="B28" i="13" s="1"/>
  <c r="K24" i="13"/>
  <c r="K21" i="13"/>
  <c r="K20" i="13"/>
  <c r="B20" i="13"/>
  <c r="B21" i="13" s="1"/>
  <c r="J19" i="13"/>
  <c r="K19" i="13" s="1"/>
  <c r="B16" i="13"/>
  <c r="K15" i="13"/>
  <c r="C25" i="12"/>
  <c r="C23" i="12"/>
  <c r="C21" i="12"/>
  <c r="C19" i="12"/>
  <c r="C17" i="12"/>
  <c r="C15" i="12"/>
  <c r="C13" i="12"/>
  <c r="I128" i="11"/>
  <c r="J128" i="11" s="1"/>
  <c r="I127" i="11"/>
  <c r="J127" i="11" s="1"/>
  <c r="I126" i="11"/>
  <c r="J126" i="11" s="1"/>
  <c r="A126" i="11"/>
  <c r="A127" i="11" s="1"/>
  <c r="A128" i="11" s="1"/>
  <c r="I125" i="11"/>
  <c r="J125" i="11" s="1"/>
  <c r="J114" i="11"/>
  <c r="J100" i="11"/>
  <c r="B100" i="11"/>
  <c r="J99" i="11"/>
  <c r="J98" i="11"/>
  <c r="J97" i="11"/>
  <c r="J96" i="11"/>
  <c r="J95" i="11"/>
  <c r="J94" i="11"/>
  <c r="O93" i="11"/>
  <c r="J93" i="11"/>
  <c r="O92" i="11"/>
  <c r="O94" i="11" s="1"/>
  <c r="J92" i="11"/>
  <c r="O91" i="11"/>
  <c r="J91" i="11"/>
  <c r="O90" i="11"/>
  <c r="J90" i="11"/>
  <c r="O89" i="11"/>
  <c r="J89" i="11"/>
  <c r="A89" i="11"/>
  <c r="A90" i="11" s="1"/>
  <c r="A91" i="11" s="1"/>
  <c r="A92" i="11" s="1"/>
  <c r="A93" i="11" s="1"/>
  <c r="A94" i="11" s="1"/>
  <c r="A95" i="11" s="1"/>
  <c r="A96" i="11" s="1"/>
  <c r="A97" i="11" s="1"/>
  <c r="A98" i="11" s="1"/>
  <c r="A99" i="11" s="1"/>
  <c r="A100" i="11" s="1"/>
  <c r="O88" i="11"/>
  <c r="J88" i="11"/>
  <c r="A88" i="11"/>
  <c r="O85" i="11"/>
  <c r="O87" i="11" s="1"/>
  <c r="O84" i="11"/>
  <c r="O95" i="11" s="1"/>
  <c r="J76" i="11"/>
  <c r="H71" i="11"/>
  <c r="J71" i="11"/>
  <c r="H105" i="11"/>
  <c r="J105" i="11" s="1"/>
  <c r="J65" i="11"/>
  <c r="J63" i="11"/>
  <c r="J59" i="11"/>
  <c r="J58" i="11"/>
  <c r="J57" i="11"/>
  <c r="J56" i="11"/>
  <c r="A50" i="11"/>
  <c r="A51" i="11" s="1"/>
  <c r="A52" i="11" s="1"/>
  <c r="A53" i="11" s="1"/>
  <c r="A54" i="11" s="1"/>
  <c r="A55" i="11" s="1"/>
  <c r="A56" i="11" s="1"/>
  <c r="A57" i="11" s="1"/>
  <c r="A58" i="11" s="1"/>
  <c r="A59" i="11" s="1"/>
  <c r="A60" i="11" s="1"/>
  <c r="A61" i="11" s="1"/>
  <c r="A62" i="11" s="1"/>
  <c r="A63" i="11" s="1"/>
  <c r="A64" i="11" s="1"/>
  <c r="A65" i="11" s="1"/>
  <c r="A49" i="11"/>
  <c r="J48" i="11"/>
  <c r="J44" i="11"/>
  <c r="J32" i="11"/>
  <c r="A29" i="11"/>
  <c r="A30" i="11" s="1"/>
  <c r="A31" i="11" s="1"/>
  <c r="A32" i="11" s="1"/>
  <c r="A33" i="11" s="1"/>
  <c r="A34" i="11" s="1"/>
  <c r="A35" i="11" s="1"/>
  <c r="J24" i="11"/>
  <c r="J23" i="11"/>
  <c r="A23" i="11"/>
  <c r="A24" i="11" s="1"/>
  <c r="J18" i="11"/>
  <c r="J17" i="11"/>
  <c r="J16" i="11"/>
  <c r="A15" i="11"/>
  <c r="A16" i="11" s="1"/>
  <c r="A17" i="11" s="1"/>
  <c r="A18" i="11" s="1"/>
  <c r="J14" i="11"/>
  <c r="C13" i="10"/>
  <c r="G396" i="9"/>
  <c r="F394" i="9"/>
  <c r="E394" i="9"/>
  <c r="F392" i="9"/>
  <c r="E392" i="9"/>
  <c r="E393" i="9" s="1"/>
  <c r="G393" i="9" s="1"/>
  <c r="G388" i="9"/>
  <c r="F386" i="9"/>
  <c r="E386" i="9"/>
  <c r="G386" i="9" s="1"/>
  <c r="F384" i="9"/>
  <c r="G384" i="9" s="1"/>
  <c r="E384" i="9"/>
  <c r="E385" i="9" s="1"/>
  <c r="G385" i="9" s="1"/>
  <c r="G378" i="9"/>
  <c r="D378" i="9"/>
  <c r="D377" i="9"/>
  <c r="G377" i="9" s="1"/>
  <c r="G375" i="9"/>
  <c r="G373" i="9"/>
  <c r="G372" i="9"/>
  <c r="D370" i="9"/>
  <c r="G370" i="9" s="1"/>
  <c r="D369" i="9"/>
  <c r="G369" i="9" s="1"/>
  <c r="D367" i="9"/>
  <c r="D371" i="9" s="1"/>
  <c r="G371" i="9" s="1"/>
  <c r="G363" i="9"/>
  <c r="D362" i="9"/>
  <c r="G362" i="9" s="1"/>
  <c r="G360" i="9"/>
  <c r="G358" i="9"/>
  <c r="G357" i="9"/>
  <c r="G356" i="9"/>
  <c r="D351" i="9"/>
  <c r="D361" i="9" s="1"/>
  <c r="G361" i="9" s="1"/>
  <c r="H349" i="9"/>
  <c r="I345" i="9"/>
  <c r="G344" i="9"/>
  <c r="I344" i="9" s="1"/>
  <c r="G343" i="9"/>
  <c r="I343" i="9" s="1"/>
  <c r="I342" i="9"/>
  <c r="G342" i="9"/>
  <c r="F338" i="9"/>
  <c r="H338" i="9" s="1"/>
  <c r="F336" i="9"/>
  <c r="G334" i="9"/>
  <c r="G333" i="9"/>
  <c r="G332" i="9"/>
  <c r="G331" i="9"/>
  <c r="F328" i="9"/>
  <c r="F327" i="9"/>
  <c r="F326" i="9"/>
  <c r="F325" i="9"/>
  <c r="F324" i="9"/>
  <c r="E318" i="9"/>
  <c r="G318" i="9" s="1"/>
  <c r="E317" i="9"/>
  <c r="G317" i="9" s="1"/>
  <c r="E316" i="9"/>
  <c r="G316" i="9" s="1"/>
  <c r="E315" i="9"/>
  <c r="G315" i="9" s="1"/>
  <c r="G314" i="9"/>
  <c r="E314" i="9"/>
  <c r="G310" i="9"/>
  <c r="E310" i="9"/>
  <c r="G309" i="9"/>
  <c r="G308" i="9"/>
  <c r="G307" i="9"/>
  <c r="E307" i="9"/>
  <c r="G306" i="9"/>
  <c r="E306" i="9"/>
  <c r="G305" i="9"/>
  <c r="E305" i="9"/>
  <c r="E304" i="9"/>
  <c r="G304" i="9" s="1"/>
  <c r="G311" i="9" s="1"/>
  <c r="H311" i="9" s="1"/>
  <c r="F300" i="9"/>
  <c r="G300" i="9" s="1"/>
  <c r="E300" i="9"/>
  <c r="H300" i="9" s="1"/>
  <c r="J55" i="11" s="1"/>
  <c r="F296" i="9"/>
  <c r="E296" i="9"/>
  <c r="H296" i="9" s="1"/>
  <c r="J54" i="11" s="1"/>
  <c r="F286" i="9"/>
  <c r="E286" i="9"/>
  <c r="H286" i="9" s="1"/>
  <c r="J53" i="11" s="1"/>
  <c r="F282" i="9"/>
  <c r="E282" i="9"/>
  <c r="H282" i="9" s="1"/>
  <c r="J52" i="11" s="1"/>
  <c r="F278" i="9"/>
  <c r="G278" i="9" s="1"/>
  <c r="E278" i="9"/>
  <c r="H278" i="9" s="1"/>
  <c r="J51" i="11" s="1"/>
  <c r="F274" i="9"/>
  <c r="E274" i="9"/>
  <c r="H274" i="9" s="1"/>
  <c r="J50" i="11" s="1"/>
  <c r="F270" i="9"/>
  <c r="E270" i="9"/>
  <c r="H270" i="9" s="1"/>
  <c r="J49" i="11" s="1"/>
  <c r="F266" i="9"/>
  <c r="E266" i="9"/>
  <c r="H266" i="9" s="1"/>
  <c r="F261" i="9"/>
  <c r="G261" i="9" s="1"/>
  <c r="E261" i="9"/>
  <c r="E262" i="9" s="1"/>
  <c r="G262" i="9" s="1"/>
  <c r="E260" i="9"/>
  <c r="G260" i="9" s="1"/>
  <c r="F259" i="9"/>
  <c r="G259" i="9" s="1"/>
  <c r="E259" i="9"/>
  <c r="H259" i="9" s="1"/>
  <c r="H257" i="9"/>
  <c r="F257" i="9"/>
  <c r="G257" i="9" s="1"/>
  <c r="E257" i="9"/>
  <c r="E258" i="9" s="1"/>
  <c r="G258" i="9" s="1"/>
  <c r="H253" i="9"/>
  <c r="F253" i="9"/>
  <c r="G253" i="9" s="1"/>
  <c r="E253" i="9"/>
  <c r="E254" i="9" s="1"/>
  <c r="G254" i="9" s="1"/>
  <c r="F251" i="9"/>
  <c r="E251" i="9"/>
  <c r="H251" i="9" s="1"/>
  <c r="F249" i="9"/>
  <c r="E249" i="9"/>
  <c r="D244" i="9"/>
  <c r="G244" i="9" s="1"/>
  <c r="G242" i="9"/>
  <c r="D240" i="9"/>
  <c r="G240" i="9" s="1"/>
  <c r="D239" i="9"/>
  <c r="G239" i="9" s="1"/>
  <c r="G238" i="9"/>
  <c r="D238" i="9"/>
  <c r="D233" i="9"/>
  <c r="D235" i="9" s="1"/>
  <c r="G235" i="9" s="1"/>
  <c r="D228" i="9"/>
  <c r="G228" i="9" s="1"/>
  <c r="G226" i="9"/>
  <c r="D224" i="9"/>
  <c r="G224" i="9" s="1"/>
  <c r="G223" i="9"/>
  <c r="D222" i="9"/>
  <c r="G222" i="9" s="1"/>
  <c r="D221" i="9"/>
  <c r="G221" i="9" s="1"/>
  <c r="D219" i="9"/>
  <c r="G219" i="9" s="1"/>
  <c r="D217" i="9"/>
  <c r="D227" i="9" s="1"/>
  <c r="G227" i="9" s="1"/>
  <c r="K213" i="9"/>
  <c r="N213" i="9" s="1"/>
  <c r="E213" i="9"/>
  <c r="K212" i="9"/>
  <c r="N212" i="9" s="1"/>
  <c r="N211" i="9"/>
  <c r="K211" i="9"/>
  <c r="K210" i="9"/>
  <c r="N210" i="9" s="1"/>
  <c r="N209" i="9"/>
  <c r="E208" i="9"/>
  <c r="K207" i="9"/>
  <c r="N207" i="9" s="1"/>
  <c r="N206" i="9"/>
  <c r="N205" i="9"/>
  <c r="K203" i="9"/>
  <c r="N203" i="9" s="1"/>
  <c r="E202" i="9"/>
  <c r="K200" i="9"/>
  <c r="K202" i="9" s="1"/>
  <c r="N202" i="9" s="1"/>
  <c r="E199" i="9"/>
  <c r="G199" i="9" s="1"/>
  <c r="E198" i="9"/>
  <c r="G198" i="9" s="1"/>
  <c r="K196" i="9"/>
  <c r="N196" i="9" s="1"/>
  <c r="K195" i="9"/>
  <c r="N195" i="9" s="1"/>
  <c r="K194" i="9"/>
  <c r="N194" i="9" s="1"/>
  <c r="E194" i="9"/>
  <c r="N193" i="9"/>
  <c r="N191" i="9"/>
  <c r="N190" i="9"/>
  <c r="E190" i="9"/>
  <c r="E191" i="9" s="1"/>
  <c r="G191" i="9" s="1"/>
  <c r="N189" i="9"/>
  <c r="K187" i="9"/>
  <c r="N187" i="9" s="1"/>
  <c r="E187" i="9"/>
  <c r="K184" i="9"/>
  <c r="K192" i="9" s="1"/>
  <c r="N192" i="9" s="1"/>
  <c r="K181" i="9"/>
  <c r="N179" i="9"/>
  <c r="H179" i="9"/>
  <c r="N178" i="9"/>
  <c r="H178" i="9"/>
  <c r="I180" i="9" s="1"/>
  <c r="J82" i="11" s="1"/>
  <c r="K176" i="9"/>
  <c r="N176" i="9" s="1"/>
  <c r="H176" i="9"/>
  <c r="H175" i="9"/>
  <c r="K174" i="9"/>
  <c r="K177" i="9" s="1"/>
  <c r="N177" i="9" s="1"/>
  <c r="H174" i="9"/>
  <c r="K168" i="9"/>
  <c r="N168" i="9" s="1"/>
  <c r="K167" i="9"/>
  <c r="N167" i="9" s="1"/>
  <c r="K163" i="9"/>
  <c r="H159" i="9"/>
  <c r="H158" i="9"/>
  <c r="G173" i="9" s="1"/>
  <c r="H173" i="9" s="1"/>
  <c r="N157" i="9"/>
  <c r="K156" i="9"/>
  <c r="K152" i="9"/>
  <c r="K146" i="9"/>
  <c r="N146" i="9" s="1"/>
  <c r="K145" i="9"/>
  <c r="G145" i="9"/>
  <c r="N93" i="11" s="1"/>
  <c r="F143" i="9"/>
  <c r="F142" i="9"/>
  <c r="K141" i="9"/>
  <c r="G140" i="9"/>
  <c r="N91" i="11" s="1"/>
  <c r="P91" i="11" s="1"/>
  <c r="F138" i="9"/>
  <c r="F137" i="9"/>
  <c r="G135" i="9"/>
  <c r="N89" i="11" s="1"/>
  <c r="P89" i="11" s="1"/>
  <c r="F133" i="9"/>
  <c r="F132" i="9"/>
  <c r="E130" i="9"/>
  <c r="D130" i="9"/>
  <c r="G130" i="9" s="1"/>
  <c r="N87" i="11" s="1"/>
  <c r="P87" i="11" s="1"/>
  <c r="F128" i="9"/>
  <c r="F127" i="9"/>
  <c r="F123" i="9"/>
  <c r="D123" i="9"/>
  <c r="E121" i="9"/>
  <c r="G121" i="9" s="1"/>
  <c r="G120" i="9"/>
  <c r="H118" i="9"/>
  <c r="D115" i="9"/>
  <c r="G115" i="9" s="1"/>
  <c r="D114" i="9"/>
  <c r="G114" i="9" s="1"/>
  <c r="D113" i="9"/>
  <c r="G113" i="9" s="1"/>
  <c r="D112" i="9"/>
  <c r="G112" i="9" s="1"/>
  <c r="G111" i="9"/>
  <c r="G109" i="9"/>
  <c r="G108" i="9"/>
  <c r="G107" i="9"/>
  <c r="D106" i="9"/>
  <c r="G106" i="9" s="1"/>
  <c r="D104" i="9"/>
  <c r="G104" i="9" s="1"/>
  <c r="D102" i="9"/>
  <c r="D110" i="9" s="1"/>
  <c r="G110" i="9" s="1"/>
  <c r="D99" i="9"/>
  <c r="G99" i="9" s="1"/>
  <c r="D98" i="9"/>
  <c r="G96" i="9"/>
  <c r="D93" i="9"/>
  <c r="G93" i="9" s="1"/>
  <c r="D92" i="9"/>
  <c r="D95" i="9" s="1"/>
  <c r="G95" i="9" s="1"/>
  <c r="G90" i="9"/>
  <c r="N98" i="11" s="1"/>
  <c r="G89" i="9"/>
  <c r="N97" i="11" s="1"/>
  <c r="F86" i="9"/>
  <c r="F85" i="9"/>
  <c r="F83" i="9"/>
  <c r="F82" i="9"/>
  <c r="F84" i="9" s="1"/>
  <c r="H84" i="9" s="1"/>
  <c r="N84" i="11" s="1"/>
  <c r="P84" i="11" s="1"/>
  <c r="E80" i="9"/>
  <c r="D80" i="9"/>
  <c r="G80" i="9" s="1"/>
  <c r="N96" i="11" s="1"/>
  <c r="E79" i="9"/>
  <c r="D79" i="9"/>
  <c r="G79" i="9" s="1"/>
  <c r="N95" i="11" s="1"/>
  <c r="P95" i="11" s="1"/>
  <c r="F76" i="9"/>
  <c r="F75" i="9"/>
  <c r="D72" i="9"/>
  <c r="G72" i="9" s="1"/>
  <c r="N83" i="11" s="1"/>
  <c r="P83" i="11" s="1"/>
  <c r="F70" i="9"/>
  <c r="F69" i="9"/>
  <c r="F68" i="9"/>
  <c r="F67" i="9"/>
  <c r="F71" i="9" s="1"/>
  <c r="G71" i="9" s="1"/>
  <c r="N82" i="11" s="1"/>
  <c r="P82" i="11" s="1"/>
  <c r="H64" i="9"/>
  <c r="G63" i="9"/>
  <c r="J62" i="11" s="1"/>
  <c r="H59" i="9"/>
  <c r="H58" i="9"/>
  <c r="H60" i="9" s="1"/>
  <c r="H54" i="9"/>
  <c r="D49" i="9"/>
  <c r="H49" i="9" s="1"/>
  <c r="H48" i="9"/>
  <c r="H47" i="9"/>
  <c r="L43" i="9"/>
  <c r="M43" i="9" s="1"/>
  <c r="M42" i="9"/>
  <c r="H37" i="9"/>
  <c r="H36" i="9"/>
  <c r="H35" i="9"/>
  <c r="H34" i="9"/>
  <c r="F31" i="9"/>
  <c r="F26" i="9"/>
  <c r="F25" i="9"/>
  <c r="D24" i="9"/>
  <c r="I23" i="9"/>
  <c r="F21" i="9"/>
  <c r="I18" i="9"/>
  <c r="F17" i="9"/>
  <c r="I17" i="9" s="1"/>
  <c r="D17" i="9"/>
  <c r="I16" i="9"/>
  <c r="I15" i="9"/>
  <c r="I14" i="9"/>
  <c r="F13" i="9"/>
  <c r="D13" i="9"/>
  <c r="E44" i="9" s="1"/>
  <c r="H44" i="9" s="1"/>
  <c r="I12" i="9"/>
  <c r="D6" i="9"/>
  <c r="D5" i="9"/>
  <c r="C26" i="8"/>
  <c r="C25" i="8"/>
  <c r="C24" i="8"/>
  <c r="C23" i="8"/>
  <c r="C22" i="8"/>
  <c r="C21" i="8"/>
  <c r="C20" i="8"/>
  <c r="C19" i="8"/>
  <c r="C17" i="8"/>
  <c r="C16" i="8"/>
  <c r="C15" i="8"/>
  <c r="C14" i="8"/>
  <c r="C13" i="8"/>
  <c r="J121" i="7"/>
  <c r="J120" i="7"/>
  <c r="J119" i="7"/>
  <c r="A119" i="7"/>
  <c r="A120" i="7" s="1"/>
  <c r="A121" i="7" s="1"/>
  <c r="J118" i="7"/>
  <c r="J107" i="7"/>
  <c r="H24" i="8" s="1"/>
  <c r="J96" i="7"/>
  <c r="J95" i="7"/>
  <c r="J94" i="7"/>
  <c r="J93" i="7"/>
  <c r="A93" i="7"/>
  <c r="A94" i="7" s="1"/>
  <c r="A95" i="7" s="1"/>
  <c r="A96" i="7" s="1"/>
  <c r="J91" i="7"/>
  <c r="O90" i="7"/>
  <c r="O89" i="7"/>
  <c r="O86" i="7"/>
  <c r="O85" i="7"/>
  <c r="J79" i="7"/>
  <c r="J76" i="7"/>
  <c r="J77" i="7"/>
  <c r="J64" i="7"/>
  <c r="J62" i="7"/>
  <c r="J61" i="7"/>
  <c r="J60" i="7"/>
  <c r="J59" i="7"/>
  <c r="J58" i="7"/>
  <c r="J57" i="7"/>
  <c r="A55" i="7"/>
  <c r="A56" i="7" s="1"/>
  <c r="A57" i="7" s="1"/>
  <c r="A58" i="7" s="1"/>
  <c r="A59" i="7" s="1"/>
  <c r="A60" i="7" s="1"/>
  <c r="A61" i="7" s="1"/>
  <c r="A62" i="7" s="1"/>
  <c r="A63" i="7" s="1"/>
  <c r="A64" i="7" s="1"/>
  <c r="A51" i="7"/>
  <c r="J47" i="7"/>
  <c r="A47" i="7"/>
  <c r="J40" i="7"/>
  <c r="A32" i="7"/>
  <c r="A33" i="7" s="1"/>
  <c r="A34" i="7" s="1"/>
  <c r="A35" i="7" s="1"/>
  <c r="A36" i="7" s="1"/>
  <c r="A37" i="7" s="1"/>
  <c r="A38" i="7" s="1"/>
  <c r="A39" i="7" s="1"/>
  <c r="A40" i="7" s="1"/>
  <c r="A41" i="7" s="1"/>
  <c r="A42" i="7" s="1"/>
  <c r="A43" i="7" s="1"/>
  <c r="J27" i="7"/>
  <c r="J26" i="7"/>
  <c r="J25" i="7"/>
  <c r="J23" i="7"/>
  <c r="J22" i="7"/>
  <c r="A22" i="7"/>
  <c r="A23" i="7" s="1"/>
  <c r="A24" i="7" s="1"/>
  <c r="A25" i="7" s="1"/>
  <c r="A26" i="7" s="1"/>
  <c r="A27" i="7" s="1"/>
  <c r="J17" i="7"/>
  <c r="J16" i="7"/>
  <c r="J15" i="7"/>
  <c r="A14" i="7"/>
  <c r="A15" i="7" s="1"/>
  <c r="A16" i="7" s="1"/>
  <c r="A17" i="7" s="1"/>
  <c r="J13" i="7"/>
  <c r="G343" i="6"/>
  <c r="E343" i="6"/>
  <c r="E342" i="6"/>
  <c r="G342" i="6" s="1"/>
  <c r="E341" i="6"/>
  <c r="G341" i="6" s="1"/>
  <c r="E340" i="6"/>
  <c r="G340" i="6" s="1"/>
  <c r="E339" i="6"/>
  <c r="G339" i="6" s="1"/>
  <c r="E335" i="6"/>
  <c r="G335" i="6" s="1"/>
  <c r="G334" i="6"/>
  <c r="G333" i="6"/>
  <c r="E332" i="6"/>
  <c r="G332" i="6" s="1"/>
  <c r="E331" i="6"/>
  <c r="G331" i="6" s="1"/>
  <c r="G330" i="6"/>
  <c r="E330" i="6"/>
  <c r="G329" i="6"/>
  <c r="G336" i="6" s="1"/>
  <c r="H336" i="6" s="1"/>
  <c r="J42" i="7" s="1"/>
  <c r="E329" i="6"/>
  <c r="E325" i="6"/>
  <c r="G325" i="6" s="1"/>
  <c r="F324" i="6"/>
  <c r="G324" i="6" s="1"/>
  <c r="E324" i="6"/>
  <c r="H324" i="6" s="1"/>
  <c r="J56" i="7" s="1"/>
  <c r="E321" i="6"/>
  <c r="G321" i="6" s="1"/>
  <c r="F320" i="6"/>
  <c r="G320" i="6" s="1"/>
  <c r="G322" i="6" s="1"/>
  <c r="I322" i="6" s="1"/>
  <c r="E320" i="6"/>
  <c r="H320" i="6" s="1"/>
  <c r="J55" i="7" s="1"/>
  <c r="E317" i="6"/>
  <c r="G317" i="6" s="1"/>
  <c r="F316" i="6"/>
  <c r="G316" i="6" s="1"/>
  <c r="E316" i="6"/>
  <c r="H316" i="6" s="1"/>
  <c r="J54" i="7" s="1"/>
  <c r="E312" i="6"/>
  <c r="G312" i="6" s="1"/>
  <c r="F311" i="6"/>
  <c r="G311" i="6" s="1"/>
  <c r="G313" i="6" s="1"/>
  <c r="I313" i="6" s="1"/>
  <c r="E311" i="6"/>
  <c r="H311" i="6" s="1"/>
  <c r="J39" i="7" s="1"/>
  <c r="E308" i="6"/>
  <c r="G308" i="6" s="1"/>
  <c r="F307" i="6"/>
  <c r="G307" i="6" s="1"/>
  <c r="E307" i="6"/>
  <c r="H307" i="6" s="1"/>
  <c r="J38" i="7" s="1"/>
  <c r="E304" i="6"/>
  <c r="G304" i="6" s="1"/>
  <c r="F303" i="6"/>
  <c r="G303" i="6" s="1"/>
  <c r="G305" i="6" s="1"/>
  <c r="I305" i="6" s="1"/>
  <c r="E303" i="6"/>
  <c r="H303" i="6" s="1"/>
  <c r="J37" i="7" s="1"/>
  <c r="E300" i="6"/>
  <c r="G300" i="6" s="1"/>
  <c r="F299" i="6"/>
  <c r="G299" i="6" s="1"/>
  <c r="E299" i="6"/>
  <c r="H299" i="6" s="1"/>
  <c r="J36" i="7" s="1"/>
  <c r="E296" i="6"/>
  <c r="G296" i="6" s="1"/>
  <c r="F295" i="6"/>
  <c r="G295" i="6" s="1"/>
  <c r="G297" i="6" s="1"/>
  <c r="I297" i="6" s="1"/>
  <c r="E295" i="6"/>
  <c r="H295" i="6" s="1"/>
  <c r="E292" i="6"/>
  <c r="G292" i="6" s="1"/>
  <c r="F291" i="6"/>
  <c r="G291" i="6" s="1"/>
  <c r="E291" i="6"/>
  <c r="H291" i="6" s="1"/>
  <c r="J34" i="7" s="1"/>
  <c r="E288" i="6"/>
  <c r="G288" i="6" s="1"/>
  <c r="F287" i="6"/>
  <c r="G287" i="6" s="1"/>
  <c r="G289" i="6" s="1"/>
  <c r="I289" i="6" s="1"/>
  <c r="E287" i="6"/>
  <c r="H287" i="6" s="1"/>
  <c r="J33" i="7" s="1"/>
  <c r="D281" i="6"/>
  <c r="G281" i="6" s="1"/>
  <c r="G279" i="6"/>
  <c r="D277" i="6"/>
  <c r="G277" i="6" s="1"/>
  <c r="D276" i="6"/>
  <c r="D275" i="6"/>
  <c r="G275" i="6" s="1"/>
  <c r="D270" i="6"/>
  <c r="D265" i="6"/>
  <c r="G265" i="6" s="1"/>
  <c r="G263" i="6"/>
  <c r="D261" i="6"/>
  <c r="G261" i="6" s="1"/>
  <c r="G260" i="6"/>
  <c r="D259" i="6"/>
  <c r="D254" i="6"/>
  <c r="D250" i="6"/>
  <c r="G250" i="6" s="1"/>
  <c r="D249" i="6"/>
  <c r="G249" i="6" s="1"/>
  <c r="G247" i="6"/>
  <c r="G245" i="6"/>
  <c r="G244" i="6"/>
  <c r="D243" i="6"/>
  <c r="G243" i="6" s="1"/>
  <c r="D239" i="6"/>
  <c r="D251" i="6" s="1"/>
  <c r="G251" i="6" s="1"/>
  <c r="G235" i="6"/>
  <c r="D234" i="6"/>
  <c r="G234" i="6" s="1"/>
  <c r="G232" i="6"/>
  <c r="G230" i="6"/>
  <c r="G229" i="6"/>
  <c r="G228" i="6"/>
  <c r="D223" i="6"/>
  <c r="D233" i="6" s="1"/>
  <c r="G233" i="6" s="1"/>
  <c r="H221" i="6"/>
  <c r="I217" i="6"/>
  <c r="G216" i="6"/>
  <c r="I216" i="6" s="1"/>
  <c r="G215" i="6"/>
  <c r="I215" i="6" s="1"/>
  <c r="I214" i="6"/>
  <c r="G214" i="6"/>
  <c r="F210" i="6"/>
  <c r="H210" i="6" s="1"/>
  <c r="F208" i="6"/>
  <c r="G206" i="6"/>
  <c r="G205" i="6"/>
  <c r="G204" i="6"/>
  <c r="G203" i="6"/>
  <c r="F200" i="6"/>
  <c r="F199" i="6"/>
  <c r="F198" i="6"/>
  <c r="F197" i="6"/>
  <c r="F196" i="6"/>
  <c r="G189" i="6"/>
  <c r="G188" i="6"/>
  <c r="H190" i="6" s="1"/>
  <c r="S169" i="6"/>
  <c r="S168" i="6"/>
  <c r="S167" i="6"/>
  <c r="T170" i="6" s="1"/>
  <c r="E166" i="6"/>
  <c r="G166" i="6" s="1"/>
  <c r="D166" i="6"/>
  <c r="D186" i="6" s="1"/>
  <c r="G186" i="6" s="1"/>
  <c r="E165" i="6"/>
  <c r="G165" i="6" s="1"/>
  <c r="H167" i="6" s="1"/>
  <c r="D165" i="6"/>
  <c r="F161" i="6"/>
  <c r="F160" i="6"/>
  <c r="D156" i="6"/>
  <c r="F156" i="6" s="1"/>
  <c r="D155" i="6"/>
  <c r="F155" i="6" s="1"/>
  <c r="F154" i="6"/>
  <c r="F153" i="6"/>
  <c r="D152" i="6"/>
  <c r="F152" i="6" s="1"/>
  <c r="D151" i="6"/>
  <c r="F151" i="6" s="1"/>
  <c r="F150" i="6"/>
  <c r="D150" i="6"/>
  <c r="F149" i="6"/>
  <c r="D149" i="6"/>
  <c r="F148" i="6"/>
  <c r="D148" i="6"/>
  <c r="D147" i="6"/>
  <c r="F147" i="6" s="1"/>
  <c r="F146" i="6"/>
  <c r="F140" i="6"/>
  <c r="F139" i="6"/>
  <c r="G141" i="6" s="1"/>
  <c r="Q134" i="6"/>
  <c r="Q135" i="6" s="1"/>
  <c r="S135" i="6" s="1"/>
  <c r="G131" i="6"/>
  <c r="N90" i="7" s="1"/>
  <c r="P90" i="7" s="1"/>
  <c r="S129" i="6"/>
  <c r="Q129" i="6"/>
  <c r="Q130" i="6" s="1"/>
  <c r="S130" i="6" s="1"/>
  <c r="E129" i="6"/>
  <c r="E128" i="6"/>
  <c r="Q126" i="6"/>
  <c r="S126" i="6" s="1"/>
  <c r="Q125" i="6"/>
  <c r="S125" i="6" s="1"/>
  <c r="G124" i="6"/>
  <c r="N88" i="7" s="1"/>
  <c r="P88" i="7" s="1"/>
  <c r="E122" i="6"/>
  <c r="Q121" i="6"/>
  <c r="E121" i="6"/>
  <c r="S118" i="6"/>
  <c r="T120" i="6" s="1"/>
  <c r="Q118" i="6"/>
  <c r="Q119" i="6" s="1"/>
  <c r="S119" i="6" s="1"/>
  <c r="Q116" i="6"/>
  <c r="S116" i="6" s="1"/>
  <c r="E116" i="6"/>
  <c r="S115" i="6"/>
  <c r="Q115" i="6"/>
  <c r="E115" i="6"/>
  <c r="E114" i="6"/>
  <c r="E113" i="6"/>
  <c r="F117" i="6" s="1"/>
  <c r="N86" i="7" s="1"/>
  <c r="P86" i="7" s="1"/>
  <c r="E112" i="6"/>
  <c r="E110" i="6"/>
  <c r="D110" i="6"/>
  <c r="F110" i="6" s="1"/>
  <c r="N85" i="7" s="1"/>
  <c r="P85" i="7" s="1"/>
  <c r="J85" i="7" s="1"/>
  <c r="E102" i="6"/>
  <c r="E101" i="6"/>
  <c r="E100" i="6"/>
  <c r="E99" i="6"/>
  <c r="E98" i="6"/>
  <c r="E97" i="6"/>
  <c r="E96" i="6"/>
  <c r="E95" i="6"/>
  <c r="F103" i="6" s="1"/>
  <c r="N84" i="7" s="1"/>
  <c r="P84" i="7" s="1"/>
  <c r="E92" i="6"/>
  <c r="D87" i="6"/>
  <c r="D92" i="6" s="1"/>
  <c r="G78" i="6"/>
  <c r="G77" i="6"/>
  <c r="G76" i="6"/>
  <c r="H74" i="6"/>
  <c r="D71" i="6"/>
  <c r="G71" i="6" s="1"/>
  <c r="D70" i="6"/>
  <c r="G70" i="6" s="1"/>
  <c r="G68" i="6"/>
  <c r="G66" i="6"/>
  <c r="G65" i="6"/>
  <c r="G64" i="6"/>
  <c r="D59" i="6"/>
  <c r="D55" i="6"/>
  <c r="G55" i="6" s="1"/>
  <c r="D54" i="6"/>
  <c r="G54" i="6" s="1"/>
  <c r="G52" i="6"/>
  <c r="G50" i="6"/>
  <c r="G49" i="6"/>
  <c r="G48" i="6"/>
  <c r="L47" i="6"/>
  <c r="L46" i="6"/>
  <c r="L45" i="6"/>
  <c r="M49" i="6" s="1"/>
  <c r="D43" i="6"/>
  <c r="D47" i="6" s="1"/>
  <c r="G47" i="6" s="1"/>
  <c r="D38" i="6"/>
  <c r="G36" i="6"/>
  <c r="Q34" i="6"/>
  <c r="R34" i="6" s="1"/>
  <c r="R33" i="6"/>
  <c r="D32" i="6"/>
  <c r="D39" i="6" s="1"/>
  <c r="G39" i="6" s="1"/>
  <c r="H30" i="6"/>
  <c r="G30" i="6"/>
  <c r="F30" i="6"/>
  <c r="I29" i="6"/>
  <c r="F28" i="6"/>
  <c r="F27" i="6"/>
  <c r="I26" i="6"/>
  <c r="E24" i="6"/>
  <c r="E28" i="6" s="1"/>
  <c r="H18" i="6"/>
  <c r="H17" i="6"/>
  <c r="I16" i="6"/>
  <c r="I15" i="6"/>
  <c r="I14" i="6"/>
  <c r="I13" i="6"/>
  <c r="I12" i="6"/>
  <c r="D6" i="6"/>
  <c r="D5" i="6"/>
  <c r="E7" i="6" s="1"/>
  <c r="J15" i="11" s="1"/>
  <c r="E59" i="5"/>
  <c r="E52" i="5"/>
  <c r="E50" i="5"/>
  <c r="E51" i="5" s="1"/>
  <c r="E49" i="5"/>
  <c r="E48" i="5"/>
  <c r="A48" i="5"/>
  <c r="E46" i="5"/>
  <c r="E54" i="5" s="1"/>
  <c r="E60" i="5" s="1"/>
  <c r="E39" i="5"/>
  <c r="E38" i="5"/>
  <c r="E37" i="5"/>
  <c r="E36" i="5"/>
  <c r="E35" i="5"/>
  <c r="E34" i="5"/>
  <c r="E33" i="5"/>
  <c r="E32" i="5"/>
  <c r="E31" i="5"/>
  <c r="E30" i="5"/>
  <c r="E29" i="5"/>
  <c r="E28" i="5"/>
  <c r="E23" i="5"/>
  <c r="E22" i="5"/>
  <c r="E21" i="5"/>
  <c r="E20" i="5"/>
  <c r="E18" i="5"/>
  <c r="E17" i="5"/>
  <c r="E16" i="5"/>
  <c r="E15" i="5"/>
  <c r="A15" i="5"/>
  <c r="A16" i="5" s="1"/>
  <c r="A17" i="5" s="1"/>
  <c r="A18" i="5" s="1"/>
  <c r="E12" i="5"/>
  <c r="E11" i="5"/>
  <c r="E10" i="5"/>
  <c r="G9" i="5"/>
  <c r="G10" i="5" s="1"/>
  <c r="G11" i="5" s="1"/>
  <c r="G12" i="5" s="1"/>
  <c r="G15" i="5" s="1"/>
  <c r="G16" i="5" s="1"/>
  <c r="G17" i="5" s="1"/>
  <c r="G18" i="5" s="1"/>
  <c r="G21" i="5" s="1"/>
  <c r="G22" i="5" s="1"/>
  <c r="G26" i="5" s="1"/>
  <c r="G28" i="5" s="1"/>
  <c r="G29" i="5" s="1"/>
  <c r="G30" i="5" s="1"/>
  <c r="G31" i="5" s="1"/>
  <c r="G32" i="5" s="1"/>
  <c r="G33" i="5" s="1"/>
  <c r="G34" i="5" s="1"/>
  <c r="G35" i="5" s="1"/>
  <c r="G36" i="5" s="1"/>
  <c r="G37" i="5" s="1"/>
  <c r="G38" i="5" s="1"/>
  <c r="G39" i="5" s="1"/>
  <c r="E9" i="5"/>
  <c r="E8" i="5"/>
  <c r="E13" i="5" s="1"/>
  <c r="B15" i="3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H42" i="32" l="1"/>
  <c r="H44" i="32" s="1"/>
  <c r="G21" i="3" s="1"/>
  <c r="J63" i="7"/>
  <c r="J65" i="7" s="1"/>
  <c r="H19" i="8" s="1"/>
  <c r="I30" i="6"/>
  <c r="D61" i="6"/>
  <c r="G61" i="6" s="1"/>
  <c r="D69" i="6"/>
  <c r="G69" i="6" s="1"/>
  <c r="D280" i="6"/>
  <c r="G280" i="6" s="1"/>
  <c r="D274" i="6"/>
  <c r="G274" i="6" s="1"/>
  <c r="D272" i="6"/>
  <c r="G272" i="6" s="1"/>
  <c r="D283" i="6"/>
  <c r="G283" i="6" s="1"/>
  <c r="H100" i="7"/>
  <c r="J100" i="7" s="1"/>
  <c r="J68" i="7"/>
  <c r="J69" i="7" s="1"/>
  <c r="H20" i="8" s="1"/>
  <c r="K148" i="9"/>
  <c r="N148" i="9" s="1"/>
  <c r="N145" i="9"/>
  <c r="K154" i="9"/>
  <c r="N154" i="9" s="1"/>
  <c r="K153" i="9"/>
  <c r="N153" i="9" s="1"/>
  <c r="K155" i="9"/>
  <c r="N155" i="9" s="1"/>
  <c r="K171" i="9"/>
  <c r="N171" i="9" s="1"/>
  <c r="K164" i="9"/>
  <c r="N164" i="9" s="1"/>
  <c r="G202" i="9"/>
  <c r="E203" i="9"/>
  <c r="G203" i="9" s="1"/>
  <c r="E214" i="9"/>
  <c r="G214" i="9" s="1"/>
  <c r="G213" i="9"/>
  <c r="H215" i="9" s="1"/>
  <c r="D241" i="9"/>
  <c r="G241" i="9" s="1"/>
  <c r="D243" i="9"/>
  <c r="G243" i="9" s="1"/>
  <c r="E250" i="9"/>
  <c r="G250" i="9" s="1"/>
  <c r="H249" i="9"/>
  <c r="H255" i="9" s="1"/>
  <c r="J30" i="11" s="1"/>
  <c r="G249" i="9"/>
  <c r="E287" i="9"/>
  <c r="G287" i="9" s="1"/>
  <c r="G329" i="9"/>
  <c r="G38" i="6"/>
  <c r="D37" i="6"/>
  <c r="G37" i="6" s="1"/>
  <c r="D63" i="6"/>
  <c r="G63" i="6" s="1"/>
  <c r="Q122" i="6"/>
  <c r="S122" i="6" s="1"/>
  <c r="S121" i="6"/>
  <c r="D257" i="6"/>
  <c r="G257" i="6" s="1"/>
  <c r="D264" i="6"/>
  <c r="G264" i="6" s="1"/>
  <c r="D262" i="6"/>
  <c r="G262" i="6" s="1"/>
  <c r="D256" i="6"/>
  <c r="G256" i="6" s="1"/>
  <c r="D258" i="6"/>
  <c r="G258" i="6" s="1"/>
  <c r="D267" i="6"/>
  <c r="G267" i="6" s="1"/>
  <c r="D273" i="6"/>
  <c r="G273" i="6" s="1"/>
  <c r="D282" i="6"/>
  <c r="G282" i="6" s="1"/>
  <c r="D278" i="6"/>
  <c r="G278" i="6" s="1"/>
  <c r="G293" i="6"/>
  <c r="I293" i="6" s="1"/>
  <c r="G301" i="6"/>
  <c r="I301" i="6" s="1"/>
  <c r="G309" i="6"/>
  <c r="I309" i="6" s="1"/>
  <c r="G318" i="6"/>
  <c r="I318" i="6" s="1"/>
  <c r="G326" i="6"/>
  <c r="I326" i="6" s="1"/>
  <c r="H66" i="9"/>
  <c r="D97" i="9"/>
  <c r="G97" i="9" s="1"/>
  <c r="G98" i="9"/>
  <c r="G100" i="9" s="1"/>
  <c r="H100" i="9" s="1"/>
  <c r="K159" i="9"/>
  <c r="N156" i="9"/>
  <c r="K160" i="9"/>
  <c r="N160" i="9" s="1"/>
  <c r="K166" i="9"/>
  <c r="N166" i="9" s="1"/>
  <c r="E188" i="9"/>
  <c r="G188" i="9" s="1"/>
  <c r="G187" i="9"/>
  <c r="H189" i="9" s="1"/>
  <c r="E195" i="9"/>
  <c r="G195" i="9" s="1"/>
  <c r="G194" i="9"/>
  <c r="H196" i="9" s="1"/>
  <c r="H200" i="9"/>
  <c r="D237" i="9"/>
  <c r="G237" i="9" s="1"/>
  <c r="E252" i="9"/>
  <c r="G252" i="9" s="1"/>
  <c r="E271" i="9"/>
  <c r="G271" i="9" s="1"/>
  <c r="J34" i="11"/>
  <c r="E387" i="9"/>
  <c r="G387" i="9" s="1"/>
  <c r="G389" i="9" s="1"/>
  <c r="J60" i="11" s="1"/>
  <c r="K52" i="19"/>
  <c r="H29" i="18" s="1"/>
  <c r="E24" i="5"/>
  <c r="H28" i="6"/>
  <c r="S35" i="6"/>
  <c r="S38" i="6" s="1"/>
  <c r="D56" i="6"/>
  <c r="G56" i="6" s="1"/>
  <c r="E123" i="6"/>
  <c r="G123" i="6" s="1"/>
  <c r="N87" i="7" s="1"/>
  <c r="P87" i="7" s="1"/>
  <c r="J87" i="7" s="1"/>
  <c r="E130" i="6"/>
  <c r="G130" i="6" s="1"/>
  <c r="N89" i="7" s="1"/>
  <c r="P89" i="7" s="1"/>
  <c r="J89" i="7" s="1"/>
  <c r="F162" i="6"/>
  <c r="J51" i="7" s="1"/>
  <c r="J218" i="6"/>
  <c r="J74" i="7"/>
  <c r="J78" i="7"/>
  <c r="J122" i="7"/>
  <c r="H26" i="8" s="1"/>
  <c r="E7" i="9"/>
  <c r="F33" i="9"/>
  <c r="H33" i="9" s="1"/>
  <c r="H38" i="9" s="1"/>
  <c r="F77" i="9"/>
  <c r="G77" i="9" s="1"/>
  <c r="N94" i="11" s="1"/>
  <c r="P94" i="11" s="1"/>
  <c r="F87" i="9"/>
  <c r="N85" i="11" s="1"/>
  <c r="P85" i="11" s="1"/>
  <c r="D94" i="9"/>
  <c r="G94" i="9" s="1"/>
  <c r="D105" i="9"/>
  <c r="G105" i="9" s="1"/>
  <c r="G116" i="9" s="1"/>
  <c r="H116" i="9" s="1"/>
  <c r="H122" i="9"/>
  <c r="G129" i="9"/>
  <c r="N86" i="11" s="1"/>
  <c r="G134" i="9"/>
  <c r="N88" i="11" s="1"/>
  <c r="P88" i="11" s="1"/>
  <c r="G139" i="9"/>
  <c r="N90" i="11" s="1"/>
  <c r="P90" i="11" s="1"/>
  <c r="G144" i="9"/>
  <c r="N92" i="11" s="1"/>
  <c r="P92" i="11" s="1"/>
  <c r="P93" i="11"/>
  <c r="D230" i="9"/>
  <c r="G230" i="9" s="1"/>
  <c r="G270" i="9"/>
  <c r="E279" i="9"/>
  <c r="G279" i="9" s="1"/>
  <c r="G286" i="9"/>
  <c r="E301" i="9"/>
  <c r="G301" i="9" s="1"/>
  <c r="G319" i="9"/>
  <c r="H319" i="9" s="1"/>
  <c r="J33" i="11" s="1"/>
  <c r="D374" i="9"/>
  <c r="G374" i="9" s="1"/>
  <c r="D379" i="9"/>
  <c r="G379" i="9" s="1"/>
  <c r="G392" i="9"/>
  <c r="G394" i="9"/>
  <c r="E395" i="9"/>
  <c r="G395" i="9" s="1"/>
  <c r="O86" i="11"/>
  <c r="J129" i="11"/>
  <c r="H26" i="10" s="1"/>
  <c r="K20" i="17"/>
  <c r="H17" i="16" s="1"/>
  <c r="K25" i="17"/>
  <c r="H19" i="16" s="1"/>
  <c r="K30" i="17"/>
  <c r="H21" i="16" s="1"/>
  <c r="K50" i="17"/>
  <c r="H29" i="16" s="1"/>
  <c r="K61" i="17"/>
  <c r="H33" i="16" s="1"/>
  <c r="K72" i="17"/>
  <c r="H37" i="16" s="1"/>
  <c r="K18" i="19"/>
  <c r="H15" i="18" s="1"/>
  <c r="K60" i="15"/>
  <c r="H31" i="14" s="1"/>
  <c r="K39" i="13"/>
  <c r="H23" i="12" s="1"/>
  <c r="K22" i="13"/>
  <c r="H17" i="12" s="1"/>
  <c r="B31" i="3"/>
  <c r="K21" i="15"/>
  <c r="K16" i="13"/>
  <c r="J24" i="7"/>
  <c r="K20" i="15"/>
  <c r="K43" i="15"/>
  <c r="K45" i="15" s="1"/>
  <c r="H25" i="14" s="1"/>
  <c r="K50" i="15"/>
  <c r="H27" i="14" s="1"/>
  <c r="K30" i="15"/>
  <c r="H19" i="14" s="1"/>
  <c r="K33" i="15"/>
  <c r="K35" i="15" s="1"/>
  <c r="H21" i="14" s="1"/>
  <c r="J70" i="11"/>
  <c r="J73" i="11" s="1"/>
  <c r="H20" i="10" s="1"/>
  <c r="K58" i="19"/>
  <c r="H31" i="18" s="1"/>
  <c r="J115" i="7"/>
  <c r="H25" i="8" s="1"/>
  <c r="K62" i="19"/>
  <c r="H33" i="18" s="1"/>
  <c r="K46" i="19"/>
  <c r="H27" i="18" s="1"/>
  <c r="J21" i="7"/>
  <c r="T117" i="6"/>
  <c r="T131" i="6"/>
  <c r="F157" i="6"/>
  <c r="H25" i="6"/>
  <c r="D51" i="6"/>
  <c r="G51" i="6" s="1"/>
  <c r="T127" i="6"/>
  <c r="N44" i="9"/>
  <c r="N181" i="9"/>
  <c r="K180" i="9"/>
  <c r="N180" i="9" s="1"/>
  <c r="D34" i="6"/>
  <c r="G34" i="6" s="1"/>
  <c r="E27" i="6"/>
  <c r="H27" i="6" s="1"/>
  <c r="D67" i="6"/>
  <c r="G67" i="6" s="1"/>
  <c r="D72" i="6"/>
  <c r="G72" i="6" s="1"/>
  <c r="D225" i="6"/>
  <c r="G225" i="6" s="1"/>
  <c r="D231" i="6"/>
  <c r="G231" i="6" s="1"/>
  <c r="D236" i="6"/>
  <c r="G236" i="6" s="1"/>
  <c r="D266" i="6"/>
  <c r="G266" i="6" s="1"/>
  <c r="G259" i="6"/>
  <c r="G268" i="6" s="1"/>
  <c r="H268" i="6" s="1"/>
  <c r="G263" i="9"/>
  <c r="F93" i="6"/>
  <c r="N83" i="7" s="1"/>
  <c r="P83" i="7" s="1"/>
  <c r="J83" i="7" s="1"/>
  <c r="G344" i="6"/>
  <c r="H344" i="6" s="1"/>
  <c r="J41" i="7" s="1"/>
  <c r="K149" i="9"/>
  <c r="N149" i="9" s="1"/>
  <c r="K144" i="9"/>
  <c r="N144" i="9" s="1"/>
  <c r="K142" i="9"/>
  <c r="N142" i="9" s="1"/>
  <c r="J35" i="11"/>
  <c r="J43" i="7"/>
  <c r="D42" i="6"/>
  <c r="G42" i="6" s="1"/>
  <c r="D62" i="6"/>
  <c r="G62" i="6" s="1"/>
  <c r="G73" i="6" s="1"/>
  <c r="H73" i="6" s="1"/>
  <c r="S134" i="6"/>
  <c r="T136" i="6" s="1"/>
  <c r="D226" i="6"/>
  <c r="G226" i="6" s="1"/>
  <c r="D242" i="6"/>
  <c r="G242" i="6" s="1"/>
  <c r="D246" i="6"/>
  <c r="G246" i="6" s="1"/>
  <c r="D241" i="6"/>
  <c r="G241" i="6" s="1"/>
  <c r="D248" i="6"/>
  <c r="G248" i="6" s="1"/>
  <c r="K147" i="9"/>
  <c r="N147" i="9" s="1"/>
  <c r="K170" i="9"/>
  <c r="J39" i="11"/>
  <c r="J41" i="11" s="1"/>
  <c r="H17" i="10" s="1"/>
  <c r="D35" i="6"/>
  <c r="G35" i="6" s="1"/>
  <c r="D46" i="6"/>
  <c r="G46" i="6" s="1"/>
  <c r="D53" i="6"/>
  <c r="G53" i="6" s="1"/>
  <c r="D45" i="6"/>
  <c r="G45" i="6" s="1"/>
  <c r="G201" i="6"/>
  <c r="G191" i="6" s="1"/>
  <c r="D227" i="6"/>
  <c r="G227" i="6" s="1"/>
  <c r="G190" i="9"/>
  <c r="H192" i="9" s="1"/>
  <c r="G208" i="9"/>
  <c r="E209" i="9"/>
  <c r="G209" i="9" s="1"/>
  <c r="D33" i="6"/>
  <c r="G33" i="6" s="1"/>
  <c r="J14" i="7"/>
  <c r="K143" i="9"/>
  <c r="N143" i="9" s="1"/>
  <c r="D354" i="9"/>
  <c r="G354" i="9" s="1"/>
  <c r="D364" i="9"/>
  <c r="G364" i="9" s="1"/>
  <c r="D359" i="9"/>
  <c r="G359" i="9" s="1"/>
  <c r="D355" i="9"/>
  <c r="G355" i="9" s="1"/>
  <c r="D353" i="9"/>
  <c r="G353" i="9" s="1"/>
  <c r="E124" i="9"/>
  <c r="G124" i="9" s="1"/>
  <c r="G123" i="9"/>
  <c r="I160" i="9"/>
  <c r="J83" i="11"/>
  <c r="I177" i="9"/>
  <c r="G272" i="9"/>
  <c r="I272" i="9" s="1"/>
  <c r="G280" i="9"/>
  <c r="I280" i="9" s="1"/>
  <c r="G288" i="9"/>
  <c r="I288" i="9" s="1"/>
  <c r="G302" i="9"/>
  <c r="I302" i="9" s="1"/>
  <c r="J346" i="9"/>
  <c r="J64" i="11"/>
  <c r="K17" i="13"/>
  <c r="H15" i="12" s="1"/>
  <c r="K158" i="9"/>
  <c r="N158" i="9" s="1"/>
  <c r="N159" i="9"/>
  <c r="D245" i="9"/>
  <c r="G245" i="9" s="1"/>
  <c r="J20" i="11"/>
  <c r="H14" i="10" s="1"/>
  <c r="K39" i="15"/>
  <c r="H23" i="14" s="1"/>
  <c r="G276" i="6"/>
  <c r="E29" i="9"/>
  <c r="K182" i="9"/>
  <c r="N182" i="9" s="1"/>
  <c r="K175" i="9"/>
  <c r="N175" i="9" s="1"/>
  <c r="K186" i="9"/>
  <c r="N186" i="9" s="1"/>
  <c r="K188" i="9"/>
  <c r="N188" i="9" s="1"/>
  <c r="K208" i="9"/>
  <c r="N208" i="9" s="1"/>
  <c r="K204" i="9"/>
  <c r="N204" i="9" s="1"/>
  <c r="N214" i="9" s="1"/>
  <c r="D246" i="9"/>
  <c r="G246" i="9" s="1"/>
  <c r="D236" i="9"/>
  <c r="G236" i="9" s="1"/>
  <c r="G247" i="9" s="1"/>
  <c r="H247" i="9" s="1"/>
  <c r="G251" i="9"/>
  <c r="G255" i="9" s="1"/>
  <c r="I255" i="9" s="1"/>
  <c r="O96" i="11"/>
  <c r="P96" i="11" s="1"/>
  <c r="O97" i="11"/>
  <c r="O98" i="11" s="1"/>
  <c r="P98" i="11" s="1"/>
  <c r="J102" i="11"/>
  <c r="H22" i="10" s="1"/>
  <c r="K197" i="9"/>
  <c r="N197" i="9" s="1"/>
  <c r="G266" i="9"/>
  <c r="G268" i="9" s="1"/>
  <c r="I268" i="9" s="1"/>
  <c r="G274" i="9"/>
  <c r="G282" i="9"/>
  <c r="G284" i="9" s="1"/>
  <c r="I284" i="9" s="1"/>
  <c r="G296" i="9"/>
  <c r="K29" i="13"/>
  <c r="H19" i="12" s="1"/>
  <c r="K15" i="15"/>
  <c r="H40" i="18"/>
  <c r="E267" i="9"/>
  <c r="G267" i="9" s="1"/>
  <c r="E275" i="9"/>
  <c r="G275" i="9" s="1"/>
  <c r="E283" i="9"/>
  <c r="G283" i="9" s="1"/>
  <c r="E297" i="9"/>
  <c r="G297" i="9" s="1"/>
  <c r="G397" i="9"/>
  <c r="J61" i="11" s="1"/>
  <c r="K82" i="17"/>
  <c r="K165" i="9"/>
  <c r="N165" i="9" s="1"/>
  <c r="D220" i="9"/>
  <c r="G220" i="9" s="1"/>
  <c r="D229" i="9"/>
  <c r="G229" i="9" s="1"/>
  <c r="D225" i="9"/>
  <c r="G225" i="9" s="1"/>
  <c r="K15" i="17"/>
  <c r="H15" i="16" s="1"/>
  <c r="H261" i="9"/>
  <c r="H263" i="9" s="1"/>
  <c r="J31" i="11" s="1"/>
  <c r="D376" i="9"/>
  <c r="G376" i="9" s="1"/>
  <c r="E40" i="5"/>
  <c r="J67" i="11" l="1"/>
  <c r="H19" i="10" s="1"/>
  <c r="K21" i="30"/>
  <c r="K21" i="26"/>
  <c r="J22" i="11"/>
  <c r="J26" i="11" s="1"/>
  <c r="H15" i="10" s="1"/>
  <c r="G231" i="9"/>
  <c r="H231" i="9" s="1"/>
  <c r="B32" i="3"/>
  <c r="B33" i="3" s="1"/>
  <c r="B34" i="3" s="1"/>
  <c r="B35" i="3" s="1"/>
  <c r="B36" i="3" s="1"/>
  <c r="B37" i="3" s="1"/>
  <c r="N150" i="9"/>
  <c r="O150" i="9" s="1"/>
  <c r="P86" i="11"/>
  <c r="G380" i="9"/>
  <c r="H380" i="9" s="1"/>
  <c r="H42" i="16"/>
  <c r="G35" i="3" s="1"/>
  <c r="G298" i="9"/>
  <c r="I298" i="9" s="1"/>
  <c r="K77" i="19"/>
  <c r="G284" i="6"/>
  <c r="H284" i="6" s="1"/>
  <c r="N161" i="9"/>
  <c r="H210" i="9"/>
  <c r="G252" i="6"/>
  <c r="H252" i="6" s="1"/>
  <c r="J97" i="7"/>
  <c r="H22" i="8" s="1"/>
  <c r="J73" i="7"/>
  <c r="J72" i="7"/>
  <c r="T123" i="6"/>
  <c r="H204" i="9"/>
  <c r="K22" i="15"/>
  <c r="H17" i="14" s="1"/>
  <c r="H42" i="18"/>
  <c r="G28" i="3"/>
  <c r="J123" i="11"/>
  <c r="K110" i="30"/>
  <c r="H24" i="34" s="1"/>
  <c r="J29" i="7"/>
  <c r="H15" i="8" s="1"/>
  <c r="J31" i="7"/>
  <c r="J29" i="11"/>
  <c r="J32" i="7"/>
  <c r="E31" i="9"/>
  <c r="H31" i="9" s="1"/>
  <c r="E43" i="9"/>
  <c r="H29" i="9"/>
  <c r="J80" i="11"/>
  <c r="J78" i="11"/>
  <c r="H125" i="9"/>
  <c r="J19" i="7"/>
  <c r="H14" i="8" s="1"/>
  <c r="G57" i="6"/>
  <c r="H57" i="6" s="1"/>
  <c r="J35" i="7" s="1"/>
  <c r="K169" i="9"/>
  <c r="N169" i="9" s="1"/>
  <c r="N170" i="9"/>
  <c r="K18" i="15"/>
  <c r="H15" i="14" s="1"/>
  <c r="G40" i="6"/>
  <c r="P97" i="11"/>
  <c r="K43" i="13"/>
  <c r="K41" i="13"/>
  <c r="G365" i="9"/>
  <c r="H365" i="9" s="1"/>
  <c r="J46" i="7"/>
  <c r="J48" i="7" s="1"/>
  <c r="H17" i="8" s="1"/>
  <c r="J81" i="11"/>
  <c r="J77" i="11"/>
  <c r="N198" i="9"/>
  <c r="H104" i="11"/>
  <c r="J104" i="11" s="1"/>
  <c r="J107" i="11" s="1"/>
  <c r="H23" i="10" s="1"/>
  <c r="J43" i="11"/>
  <c r="J46" i="11" s="1"/>
  <c r="H18" i="10" s="1"/>
  <c r="I263" i="9"/>
  <c r="G237" i="6"/>
  <c r="H237" i="6" s="1"/>
  <c r="G276" i="9"/>
  <c r="I276" i="9" s="1"/>
  <c r="N183" i="9"/>
  <c r="H34" i="14" l="1"/>
  <c r="G37" i="3" s="1"/>
  <c r="H15" i="34"/>
  <c r="H28" i="34" s="1"/>
  <c r="G25" i="3" s="1"/>
  <c r="H15" i="33"/>
  <c r="K29" i="26"/>
  <c r="N172" i="9"/>
  <c r="J80" i="7"/>
  <c r="H21" i="8" s="1"/>
  <c r="K126" i="26"/>
  <c r="H25" i="33" s="1"/>
  <c r="H28" i="33" s="1"/>
  <c r="H30" i="33" s="1"/>
  <c r="G16" i="3" s="1"/>
  <c r="K137" i="26"/>
  <c r="K45" i="13"/>
  <c r="H25" i="12" s="1"/>
  <c r="H29" i="12" s="1"/>
  <c r="G36" i="3" s="1"/>
  <c r="K62" i="15"/>
  <c r="J28" i="11"/>
  <c r="E184" i="9"/>
  <c r="E45" i="9"/>
  <c r="J85" i="11"/>
  <c r="H21" i="10" s="1"/>
  <c r="H41" i="6"/>
  <c r="H40" i="6"/>
  <c r="J50" i="7"/>
  <c r="J52" i="7" s="1"/>
  <c r="H18" i="8" s="1"/>
  <c r="H99" i="7"/>
  <c r="J99" i="7" s="1"/>
  <c r="J101" i="7" s="1"/>
  <c r="H23" i="8" s="1"/>
  <c r="J44" i="7"/>
  <c r="H16" i="8" s="1"/>
  <c r="H28" i="8" l="1"/>
  <c r="H30" i="8" s="1"/>
  <c r="G14" i="3" s="1"/>
  <c r="K49" i="13"/>
  <c r="J125" i="7"/>
  <c r="E46" i="9"/>
  <c r="H45" i="9"/>
  <c r="G184" i="9"/>
  <c r="E185" i="9"/>
  <c r="G185" i="9" s="1"/>
  <c r="J37" i="11"/>
  <c r="H16" i="10" l="1"/>
  <c r="H28" i="10" s="1"/>
  <c r="H30" i="10" s="1"/>
  <c r="G15" i="3" s="1"/>
  <c r="J132" i="11"/>
  <c r="H186" i="9"/>
  <c r="H46" i="9"/>
  <c r="E51" i="9"/>
  <c r="E53" i="9" l="1"/>
  <c r="H51" i="9"/>
  <c r="K22" i="57"/>
  <c r="K26" i="57" s="1"/>
  <c r="H15" i="63" s="1"/>
  <c r="H28" i="63" s="1"/>
  <c r="H30" i="63" s="1"/>
  <c r="K23" i="58" l="1"/>
  <c r="K27" i="58" s="1"/>
  <c r="J21" i="59"/>
  <c r="K21" i="59" s="1"/>
  <c r="K23" i="59" s="1"/>
  <c r="G23" i="3"/>
  <c r="K107" i="57"/>
  <c r="H15" i="64" l="1"/>
  <c r="K108" i="58"/>
  <c r="H15" i="65"/>
  <c r="H28" i="65" s="1"/>
  <c r="G32" i="3" s="1"/>
  <c r="K99" i="59"/>
  <c r="C18" i="8"/>
  <c r="C26" i="10"/>
  <c r="H28" i="64" l="1"/>
  <c r="H30" i="64" s="1"/>
  <c r="G24" i="3" s="1"/>
  <c r="G40" i="3" s="1"/>
</calcChain>
</file>

<file path=xl/sharedStrings.xml><?xml version="1.0" encoding="utf-8"?>
<sst xmlns="http://schemas.openxmlformats.org/spreadsheetml/2006/main" count="5223" uniqueCount="1017">
  <si>
    <t>RENCANA ANGGARAN BIAYA</t>
  </si>
  <si>
    <t>Pembangunan dan Perkebunan Agrowisata</t>
  </si>
  <si>
    <t>Lokasi Desa Tugu Utara Kec Cisarua Kab Bogor</t>
  </si>
  <si>
    <t>PT Perusahaan Perkebunan Sumber Sari Bumi Pakuan</t>
  </si>
  <si>
    <t>Harga</t>
  </si>
  <si>
    <t>Jumlah</t>
  </si>
  <si>
    <t>No.</t>
  </si>
  <si>
    <t>Uraian Pekerjaan</t>
  </si>
  <si>
    <t>Satuan</t>
  </si>
  <si>
    <t>Volume</t>
  </si>
  <si>
    <t>Rp.</t>
  </si>
  <si>
    <t>I</t>
  </si>
  <si>
    <t>II</t>
  </si>
  <si>
    <t>Pekerjaan Tanah</t>
  </si>
  <si>
    <t>m2</t>
  </si>
  <si>
    <t>m3</t>
  </si>
  <si>
    <t>III</t>
  </si>
  <si>
    <t>kg</t>
  </si>
  <si>
    <t>ls</t>
  </si>
  <si>
    <t>IV</t>
  </si>
  <si>
    <t>btg</t>
  </si>
  <si>
    <t>bh</t>
  </si>
  <si>
    <t>V</t>
  </si>
  <si>
    <t>Pekerjaan Atap</t>
  </si>
  <si>
    <t>m'</t>
  </si>
  <si>
    <t>VI</t>
  </si>
  <si>
    <t>Pekerjaan Dinding</t>
  </si>
  <si>
    <t>VII</t>
  </si>
  <si>
    <t>VIII</t>
  </si>
  <si>
    <t xml:space="preserve">m </t>
  </si>
  <si>
    <t>IX</t>
  </si>
  <si>
    <t>Pekerjaan Sanitary</t>
  </si>
  <si>
    <t>unit</t>
  </si>
  <si>
    <t>X</t>
  </si>
  <si>
    <t>XI</t>
  </si>
  <si>
    <t xml:space="preserve">Plafond </t>
  </si>
  <si>
    <t>XII</t>
  </si>
  <si>
    <t>XIII</t>
  </si>
  <si>
    <t>Pekerjaan Plumbing</t>
  </si>
  <si>
    <t>Pekerjaan Listrik</t>
  </si>
  <si>
    <t>REKAPITULASI</t>
  </si>
  <si>
    <t>Total</t>
  </si>
  <si>
    <t>REKAPITULASI ANGGARAN BIAYA</t>
  </si>
  <si>
    <t>No</t>
  </si>
  <si>
    <t>Uraian</t>
  </si>
  <si>
    <t>( Rupiah)</t>
  </si>
  <si>
    <t>Bogor, Januari 2021</t>
  </si>
  <si>
    <t>TIM  DED - SSBP</t>
  </si>
  <si>
    <t>KAWASAN AGROWISATA</t>
  </si>
  <si>
    <t>PERKEBUNAN TEH CILIWUNG</t>
  </si>
  <si>
    <t>NO</t>
  </si>
  <si>
    <t>PERENCANAAN</t>
  </si>
  <si>
    <t>DETAIL</t>
  </si>
  <si>
    <r>
      <t>TOTAL LUAS REPLOT (m</t>
    </r>
    <r>
      <rPr>
        <b/>
        <sz val="10"/>
        <color theme="1"/>
        <rFont val="Calibri"/>
        <family val="2"/>
      </rPr>
      <t>²)</t>
    </r>
  </si>
  <si>
    <t>KETERANGAN</t>
  </si>
  <si>
    <t>JUMLAH UNIT</t>
  </si>
  <si>
    <r>
      <t>LUAS (m</t>
    </r>
    <r>
      <rPr>
        <b/>
        <sz val="10"/>
        <color theme="1"/>
        <rFont val="Calibri"/>
        <family val="2"/>
      </rPr>
      <t>²</t>
    </r>
    <r>
      <rPr>
        <b/>
        <sz val="8.5"/>
        <color theme="1"/>
        <rFont val="Century Gothic"/>
        <family val="2"/>
      </rPr>
      <t>)</t>
    </r>
  </si>
  <si>
    <t>BANGUNAN</t>
  </si>
  <si>
    <t>DENAH</t>
  </si>
  <si>
    <t>TAMPAK</t>
  </si>
  <si>
    <t>POT</t>
  </si>
  <si>
    <t>3D</t>
  </si>
  <si>
    <t>-</t>
  </si>
  <si>
    <t>F</t>
  </si>
  <si>
    <t>RESTO 200</t>
  </si>
  <si>
    <t>RESTO 300</t>
  </si>
  <si>
    <t>TOTAL LUAS TENANT UTAMA</t>
  </si>
  <si>
    <t>PUSAT INFORMASI</t>
  </si>
  <si>
    <t>POS JAGA</t>
  </si>
  <si>
    <t>TPS</t>
  </si>
  <si>
    <t>NOT</t>
  </si>
  <si>
    <t>IPAL</t>
  </si>
  <si>
    <t>Unit air bersih</t>
  </si>
  <si>
    <t>UNIT AIR BERSIH</t>
  </si>
  <si>
    <t>TOTAL LUAS BANGUNAN</t>
  </si>
  <si>
    <t>JALAN DAN PARKIR</t>
  </si>
  <si>
    <t>Soil Test / Sondir Boring</t>
  </si>
  <si>
    <t>Boring  1 titik</t>
  </si>
  <si>
    <t>Sondir 4 titik</t>
  </si>
  <si>
    <t>Parkir mobil &amp; motor</t>
  </si>
  <si>
    <t>ukuran 2,5x5m</t>
  </si>
  <si>
    <t>ukuran1x2m</t>
  </si>
  <si>
    <t>TOTAL LUAS PARKIR MOTOR &amp; MOBIL</t>
  </si>
  <si>
    <t>Parkir sepeda</t>
  </si>
  <si>
    <t>ukuran 1x2m</t>
  </si>
  <si>
    <t>Pathway &amp; sirkulasi</t>
  </si>
  <si>
    <t>TOTAL LUAS JALAN DAN PARKIR</t>
  </si>
  <si>
    <t>TAMAN DAN PENGHIJAUAN</t>
  </si>
  <si>
    <t>Kolam resapan air</t>
  </si>
  <si>
    <t>Area hijau</t>
  </si>
  <si>
    <t>TOTAL LUAS TAMAN DAN PENGHIJAUAN</t>
  </si>
  <si>
    <t>TOTAL LUAS KESELURUHAN</t>
  </si>
  <si>
    <t>sdh</t>
  </si>
  <si>
    <t>Restoran</t>
  </si>
  <si>
    <t>ARS 107</t>
  </si>
  <si>
    <t>ARS 105</t>
  </si>
  <si>
    <t>ARS 103</t>
  </si>
  <si>
    <t>RESTO 400</t>
  </si>
  <si>
    <t>ARS 101</t>
  </si>
  <si>
    <t>RESTO 1000</t>
  </si>
  <si>
    <t>ARS 101A</t>
  </si>
  <si>
    <t>SAUNG RESTO 25</t>
  </si>
  <si>
    <t>Kafe</t>
  </si>
  <si>
    <t>ARS 109</t>
  </si>
  <si>
    <t>CAFÉ 200</t>
  </si>
  <si>
    <t>Masjid</t>
  </si>
  <si>
    <t>ARS 110</t>
  </si>
  <si>
    <t xml:space="preserve">MASJID </t>
  </si>
  <si>
    <t>Pujasera</t>
  </si>
  <si>
    <t>ukuran 3x2,5m</t>
  </si>
  <si>
    <t>ARS 111</t>
  </si>
  <si>
    <t xml:space="preserve">PUJASERA </t>
  </si>
  <si>
    <t>Kantor pengelola/pusat informasi</t>
  </si>
  <si>
    <t>ARS 112</t>
  </si>
  <si>
    <t>Toilet</t>
  </si>
  <si>
    <t>ukuran 2,5x3m</t>
  </si>
  <si>
    <t>ukuran 4,5x6.75m</t>
  </si>
  <si>
    <t>ARS 114</t>
  </si>
  <si>
    <t>TOILET 30</t>
  </si>
  <si>
    <t>ukuran 4.5x7.5m</t>
  </si>
  <si>
    <t>ARS 115</t>
  </si>
  <si>
    <t>TOILET 34</t>
  </si>
  <si>
    <t>ukuran 8x9m</t>
  </si>
  <si>
    <t>TOTAL LUAS TOILET</t>
  </si>
  <si>
    <t>Posko Off road dan Posko ATV</t>
  </si>
  <si>
    <t>relokasi dari blok B</t>
  </si>
  <si>
    <t>Parkir area Offroad, ATV, Mobil Komodo</t>
  </si>
  <si>
    <t>ARS 117</t>
  </si>
  <si>
    <t>POSKO ATV</t>
  </si>
  <si>
    <t>Bengkel &amp; Spare part Area Off Road</t>
  </si>
  <si>
    <t>Pos polisi</t>
  </si>
  <si>
    <t>ARS 128</t>
  </si>
  <si>
    <t>POS POLISI</t>
  </si>
  <si>
    <t>Pusat keamanan</t>
  </si>
  <si>
    <t>ARS 118</t>
  </si>
  <si>
    <t>PUSAT KEAMANAN</t>
  </si>
  <si>
    <t>Pos jaga</t>
  </si>
  <si>
    <t>ARS 119</t>
  </si>
  <si>
    <t>Titik pandang</t>
  </si>
  <si>
    <t>ARS 127A</t>
  </si>
  <si>
    <t>TITIK PANDANG</t>
  </si>
  <si>
    <t>AMBIL DARI LANDSCAPE PRINTOUT</t>
  </si>
  <si>
    <t>Jembatan</t>
  </si>
  <si>
    <t>ARS 127</t>
  </si>
  <si>
    <t>JEMBATAN PANDANG</t>
  </si>
  <si>
    <t>Klinik</t>
  </si>
  <si>
    <t>ARS 120</t>
  </si>
  <si>
    <t>Damkar</t>
  </si>
  <si>
    <t>ARS 121</t>
  </si>
  <si>
    <t>DAMKAR</t>
  </si>
  <si>
    <t>Ruang sopir bus</t>
  </si>
  <si>
    <t>ARS 122</t>
  </si>
  <si>
    <t>RUANG SOPIR BUS</t>
  </si>
  <si>
    <t>ARS 123</t>
  </si>
  <si>
    <t>ARS 124</t>
  </si>
  <si>
    <t>ARS 125</t>
  </si>
  <si>
    <t>Gardu listrik</t>
  </si>
  <si>
    <t>ARS 126</t>
  </si>
  <si>
    <t>GARDU LISTRIK</t>
  </si>
  <si>
    <t>JUDUL REVISI</t>
  </si>
  <si>
    <t>Parkir bus</t>
  </si>
  <si>
    <t>ukuran 3x12m</t>
  </si>
  <si>
    <t>Mobil : 471 lot</t>
  </si>
  <si>
    <t>Motor : 200 lot</t>
  </si>
  <si>
    <t>Bangunan Rest Area Blok A</t>
  </si>
  <si>
    <t>A</t>
  </si>
  <si>
    <t>Blok A REST AREA</t>
  </si>
  <si>
    <t>Blok A Resto 200 m2</t>
  </si>
  <si>
    <t>Blok A Resto 300 m2</t>
  </si>
  <si>
    <t>Blok A Resto 400 m2</t>
  </si>
  <si>
    <t>Blok A Resto 1000 m2</t>
  </si>
  <si>
    <t>Blok A Saung Resto 25 m2</t>
  </si>
  <si>
    <t>Blok A Café 200 m2</t>
  </si>
  <si>
    <t>Blok A Masjid</t>
  </si>
  <si>
    <t>Blok A Pusat Informasi</t>
  </si>
  <si>
    <t>Blok A Toilet 30 m2</t>
  </si>
  <si>
    <t>Blok A Toilet 34 m2</t>
  </si>
  <si>
    <t>Blok A Posko ATV dan Workshop</t>
  </si>
  <si>
    <t>Blok A Pos Polisi</t>
  </si>
  <si>
    <t>Blok A Pusat Keamanan</t>
  </si>
  <si>
    <t>Blok A Pos Jaga</t>
  </si>
  <si>
    <t>Blok A Titik Pandang</t>
  </si>
  <si>
    <t>Blok A Jembatan Pandang</t>
  </si>
  <si>
    <t>Blok A Ruang Sopir Bus</t>
  </si>
  <si>
    <t>Blok A Ipal</t>
  </si>
  <si>
    <t>Blok A TPS</t>
  </si>
  <si>
    <t>Blok A Unit Air Bersih</t>
  </si>
  <si>
    <t>Blok A Gardu Listrik</t>
  </si>
  <si>
    <t>ANALISA VOLUME</t>
  </si>
  <si>
    <t>PEKERJAAN  ARS 107 CAPE 200</t>
  </si>
  <si>
    <t>Pasang bouplank</t>
  </si>
  <si>
    <t>PEKERJAAN PONDASI</t>
  </si>
  <si>
    <t>galian tanah pondasi</t>
  </si>
  <si>
    <t>P</t>
  </si>
  <si>
    <t>DLM</t>
  </si>
  <si>
    <t>LBR</t>
  </si>
  <si>
    <t>a</t>
  </si>
  <si>
    <t>1  -  5</t>
  </si>
  <si>
    <t>1  -  2</t>
  </si>
  <si>
    <t>B</t>
  </si>
  <si>
    <t>1  -  4</t>
  </si>
  <si>
    <t>1  -  3</t>
  </si>
  <si>
    <t>C</t>
  </si>
  <si>
    <t>ATAP</t>
  </si>
  <si>
    <t>a  -  c</t>
  </si>
  <si>
    <t>B  -  C</t>
  </si>
  <si>
    <t>a  -  b</t>
  </si>
  <si>
    <t xml:space="preserve">panjang </t>
  </si>
  <si>
    <t>Galian Tanah Pondasi Batu Kali</t>
  </si>
  <si>
    <t>Galian Tanah Pondasi Cakar ayam</t>
  </si>
  <si>
    <t>Urug Pasir Bawah Pondasi 5Cm</t>
  </si>
  <si>
    <t>Pondasi Batu Kali</t>
  </si>
  <si>
    <t>Pondasi Cakar Ayam</t>
  </si>
  <si>
    <t>urugan pasir bawah Pondasi Cakar Ayam</t>
  </si>
  <si>
    <t>PONDASI TAPAK     120x120x30</t>
  </si>
  <si>
    <r>
      <t>m</t>
    </r>
    <r>
      <rPr>
        <vertAlign val="superscript"/>
        <sz val="12"/>
        <rFont val="Calibri"/>
        <family val="2"/>
        <scheme val="minor"/>
      </rPr>
      <t>3</t>
    </r>
  </si>
  <si>
    <t>PER/M</t>
  </si>
  <si>
    <t>TINGGI</t>
  </si>
  <si>
    <t>PER/TIANG</t>
  </si>
  <si>
    <t>a. Semen</t>
  </si>
  <si>
    <t>zak</t>
  </si>
  <si>
    <r>
      <rPr>
        <sz val="11"/>
        <color indexed="8"/>
        <rFont val="Calibri"/>
        <family val="2"/>
      </rPr>
      <t>Ø</t>
    </r>
    <r>
      <rPr>
        <sz val="11"/>
        <color theme="1"/>
        <rFont val="Calibri"/>
        <family val="2"/>
        <scheme val="minor"/>
      </rPr>
      <t>30</t>
    </r>
  </si>
  <si>
    <t>b. Pasir Beton</t>
  </si>
  <si>
    <t>JASA</t>
  </si>
  <si>
    <t>c. Split 1/2</t>
  </si>
  <si>
    <t>JUMLAH</t>
  </si>
  <si>
    <t>d. Besi Beton dia. 13 mm</t>
  </si>
  <si>
    <t>h. Kawat beton</t>
  </si>
  <si>
    <t>h. Upah besi</t>
  </si>
  <si>
    <t>Upah</t>
  </si>
  <si>
    <t>Sub Total IV</t>
  </si>
  <si>
    <t>Sloof 15x25</t>
  </si>
  <si>
    <t>V III</t>
  </si>
  <si>
    <t>Sloof    25x15x1</t>
  </si>
  <si>
    <t>Bahan :</t>
  </si>
  <si>
    <t>Tangga wf  15x75x5x7</t>
  </si>
  <si>
    <t>6m</t>
  </si>
  <si>
    <t>upah</t>
  </si>
  <si>
    <t>anak tangga</t>
  </si>
  <si>
    <t>e. Besi Beton dia. 8 mm</t>
  </si>
  <si>
    <t>f.   Triplek  9 mm</t>
  </si>
  <si>
    <t>lbr</t>
  </si>
  <si>
    <t>g. Kawat beton</t>
  </si>
  <si>
    <t>i. Kaso 5/7</t>
  </si>
  <si>
    <t>j. Paku 5-7 cm</t>
  </si>
  <si>
    <t>i. Upah begisting</t>
  </si>
  <si>
    <t>Sub Total V III</t>
  </si>
  <si>
    <t>Kolom struktur   40x20x4</t>
  </si>
  <si>
    <t>Kolom K1  20x40x400</t>
  </si>
  <si>
    <t>Balok struktur  20x50</t>
  </si>
  <si>
    <t>balok struktur  20x30</t>
  </si>
  <si>
    <t>balok 15x25</t>
  </si>
  <si>
    <t>Rangka kaca dinding depan aluminium</t>
  </si>
  <si>
    <t>panjang alumium</t>
  </si>
  <si>
    <t>m1</t>
  </si>
  <si>
    <t>Luas Kaca</t>
  </si>
  <si>
    <t>jumlah luas kaca  18mm</t>
  </si>
  <si>
    <t>Rangka kaca dinding belakang aluminium lantai 2   J5</t>
  </si>
  <si>
    <t>Ring Balok WF300</t>
  </si>
  <si>
    <t>Ring Balok WF350</t>
  </si>
  <si>
    <t>Rangka kaca dinding samping kiri dan kanan aluminium  J9 A</t>
  </si>
  <si>
    <t>Ring Balok WF 500</t>
  </si>
  <si>
    <t>jumlah luas kaca  J9   5mm</t>
  </si>
  <si>
    <t>Ring Balok WF250</t>
  </si>
  <si>
    <t>Rangka kaca dinding samping kiri depan aluminium J9B</t>
  </si>
  <si>
    <t>Kuda kuda</t>
  </si>
  <si>
    <t>jumlah luas kaca  J9B</t>
  </si>
  <si>
    <t>pjng</t>
  </si>
  <si>
    <t>tinggi</t>
  </si>
  <si>
    <t>Gording CNP 150.50.3,2mm</t>
  </si>
  <si>
    <t>panjang kusen pantri</t>
  </si>
  <si>
    <t>dinding bata merah</t>
  </si>
  <si>
    <t>kusen pentry</t>
  </si>
  <si>
    <t>tampak depan</t>
  </si>
  <si>
    <t>tampak belakang</t>
  </si>
  <si>
    <t>tampak samping kiri</t>
  </si>
  <si>
    <t>tampak samping kanan</t>
  </si>
  <si>
    <t>tampak belakang luar</t>
  </si>
  <si>
    <t>potongan belakang 1</t>
  </si>
  <si>
    <t>potongan belakang 2</t>
  </si>
  <si>
    <t>potongan belakang 3</t>
  </si>
  <si>
    <t>potongan samping 1</t>
  </si>
  <si>
    <t>potongan samping 2</t>
  </si>
  <si>
    <t>potongan samping 3</t>
  </si>
  <si>
    <t>Pas. Keramik A Dinding Toilet 20 x 25</t>
  </si>
  <si>
    <t>Dinding KM dari Cubikel</t>
  </si>
  <si>
    <t>Cubicle</t>
  </si>
  <si>
    <t>asasoris</t>
  </si>
  <si>
    <t>PEKERJAAN ATAP</t>
  </si>
  <si>
    <t>Kuda - Kuda baja ringan Mesjid</t>
  </si>
  <si>
    <t>Kuda - Kuda baja ringan toilet</t>
  </si>
  <si>
    <t xml:space="preserve">Plafond Gypsum 9 mm + Rangka Hollow </t>
  </si>
  <si>
    <t>LUAS BANGUNAN</t>
  </si>
  <si>
    <t xml:space="preserve">    Keramik 20 x 20 cm  KM/WC </t>
  </si>
  <si>
    <t xml:space="preserve">    Keramik 40 x 40 cm teras toilet</t>
  </si>
  <si>
    <t xml:space="preserve">    Keramik 40 x 40 cm</t>
  </si>
  <si>
    <t>Keramik motip teras mesjid</t>
  </si>
  <si>
    <t xml:space="preserve">Kusen aluminium </t>
  </si>
  <si>
    <t>PEKERJAAN HALAMAN</t>
  </si>
  <si>
    <t>tebal</t>
  </si>
  <si>
    <t>jum vol</t>
  </si>
  <si>
    <t>harga</t>
  </si>
  <si>
    <t>Makadam</t>
  </si>
  <si>
    <t>Abu batu</t>
  </si>
  <si>
    <t>Vaping blok</t>
  </si>
  <si>
    <t>Harga /m2  pasng Vaping</t>
  </si>
  <si>
    <t>panjang</t>
  </si>
  <si>
    <t>lebar</t>
  </si>
  <si>
    <t>satuan</t>
  </si>
  <si>
    <t>`</t>
  </si>
  <si>
    <t>Kolom  K1  30x15x1</t>
  </si>
  <si>
    <r>
      <rPr>
        <sz val="11"/>
        <rFont val="Arial Narrow"/>
        <family val="2"/>
        <charset val="134"/>
      </rPr>
      <t>m</t>
    </r>
    <r>
      <rPr>
        <vertAlign val="superscript"/>
        <sz val="11"/>
        <rFont val="Arial Narrow"/>
        <family val="2"/>
        <charset val="134"/>
      </rPr>
      <t>3</t>
    </r>
  </si>
  <si>
    <t>Plat lantai jembatan0,2x6x2</t>
  </si>
  <si>
    <t>d. Besi Beton dia. 10 mm</t>
  </si>
  <si>
    <t>Bp1dan Bp1  250x500x1</t>
  </si>
  <si>
    <t>d. Besi Beton dia. 16 mm</t>
  </si>
  <si>
    <t>e. Besi Beton dia. 10 mm</t>
  </si>
  <si>
    <t>Bp1danB2p  200x350x1</t>
  </si>
  <si>
    <t>KOLOM</t>
  </si>
  <si>
    <t xml:space="preserve"> KOLOM HBEAM 250 K1 as, A&amp;C</t>
  </si>
  <si>
    <t xml:space="preserve"> KOLOM HBEAM 250 as, B</t>
  </si>
  <si>
    <t>Kuda-kuda as.C &amp; D. WF250</t>
  </si>
  <si>
    <t>Balok lantai 2 WF250</t>
  </si>
  <si>
    <t>Balok lantai 2 WF300</t>
  </si>
  <si>
    <t>Balok lantai 2 WF350</t>
  </si>
  <si>
    <t>Balok lantai 2 WF400</t>
  </si>
  <si>
    <t>RANGGKA ATAP</t>
  </si>
  <si>
    <t>Balok Atap WF200</t>
  </si>
  <si>
    <t>Gording as  e-f   CNP 150.50.3,2mm</t>
  </si>
  <si>
    <t xml:space="preserve">BETON  1:2:3   </t>
  </si>
  <si>
    <t>/M3</t>
  </si>
  <si>
    <t>Pasir beton</t>
  </si>
  <si>
    <t>Split</t>
  </si>
  <si>
    <t>Semen</t>
  </si>
  <si>
    <t>wiremes m8</t>
  </si>
  <si>
    <t>Bondek 0,75</t>
  </si>
  <si>
    <r>
      <t xml:space="preserve">Besi </t>
    </r>
    <r>
      <rPr>
        <sz val="12"/>
        <color indexed="8"/>
        <rFont val="Calibri"/>
        <family val="2"/>
      </rPr>
      <t>Ø</t>
    </r>
    <r>
      <rPr>
        <sz val="10.199999999999999"/>
        <color indexed="8"/>
        <rFont val="Calibri"/>
        <family val="2"/>
      </rPr>
      <t>13</t>
    </r>
  </si>
  <si>
    <t>btng</t>
  </si>
  <si>
    <t>wiremes m7</t>
  </si>
  <si>
    <t>I.</t>
  </si>
  <si>
    <t>PEKERJAAN PERSIAPAN &amp; PENYELESAIAN</t>
  </si>
  <si>
    <t>Bedeng &amp; Gudang</t>
  </si>
  <si>
    <r>
      <t>M</t>
    </r>
    <r>
      <rPr>
        <vertAlign val="superscript"/>
        <sz val="12"/>
        <rFont val="Calibri"/>
        <family val="2"/>
        <scheme val="minor"/>
      </rPr>
      <t>2</t>
    </r>
  </si>
  <si>
    <t>Pas. Bouwplank</t>
  </si>
  <si>
    <r>
      <t>M</t>
    </r>
    <r>
      <rPr>
        <vertAlign val="superscript"/>
        <sz val="12"/>
        <rFont val="Calibri"/>
        <family val="2"/>
        <scheme val="minor"/>
      </rPr>
      <t>1</t>
    </r>
  </si>
  <si>
    <t xml:space="preserve">Pembersihan awal dan Selama Proyek Berjalan </t>
  </si>
  <si>
    <t>Pembersihan akhir sampah dll</t>
  </si>
  <si>
    <t>Alat bantu steger / bambu dll</t>
  </si>
  <si>
    <t>Total I</t>
  </si>
  <si>
    <t>II.</t>
  </si>
  <si>
    <t>Strausspile dalam  13,6m dia 30cm</t>
  </si>
  <si>
    <r>
      <t>M</t>
    </r>
    <r>
      <rPr>
        <vertAlign val="superscript"/>
        <sz val="12"/>
        <rFont val="Calibri"/>
        <family val="2"/>
        <scheme val="minor"/>
      </rPr>
      <t>3</t>
    </r>
  </si>
  <si>
    <t>Urug Pasir Bawah Pondasi</t>
  </si>
  <si>
    <t>Total II</t>
  </si>
  <si>
    <t>III.</t>
  </si>
  <si>
    <t>PEKERJAAN  BETON</t>
  </si>
  <si>
    <t>Kg</t>
  </si>
  <si>
    <t>Ls</t>
  </si>
  <si>
    <t>Total III</t>
  </si>
  <si>
    <t>IV.</t>
  </si>
  <si>
    <t>PEKERJAAN DINDING</t>
  </si>
  <si>
    <t>Total IV</t>
  </si>
  <si>
    <t>V.</t>
  </si>
  <si>
    <t>PEKERJAAN PELAPIS DINDING</t>
  </si>
  <si>
    <t>Plester &amp; Acian Dinding</t>
  </si>
  <si>
    <t>Total V</t>
  </si>
  <si>
    <t>VI.</t>
  </si>
  <si>
    <t>Trekstank sagrod  M12x119 Cm</t>
  </si>
  <si>
    <t>Total VI</t>
  </si>
  <si>
    <t>VII.</t>
  </si>
  <si>
    <t xml:space="preserve">PEKERJAAN PLAFOND </t>
  </si>
  <si>
    <t>Total VII</t>
  </si>
  <si>
    <t>VIII.</t>
  </si>
  <si>
    <t>PEKERJAAN LANTAI</t>
  </si>
  <si>
    <t>Pemadatan Tanah Lantai Dasar</t>
  </si>
  <si>
    <t>Urugan Pasir t = 3 cm</t>
  </si>
  <si>
    <t>a. Keramik Lantai</t>
  </si>
  <si>
    <t>Total VIII</t>
  </si>
  <si>
    <t>IX.</t>
  </si>
  <si>
    <t>PEKERJAAN KUSEN , PINTU &amp; JENDELA</t>
  </si>
  <si>
    <t>Unit</t>
  </si>
  <si>
    <t>Daun Pintu panel  kayu</t>
  </si>
  <si>
    <t>Pintu Spandril</t>
  </si>
  <si>
    <t>Total IX</t>
  </si>
  <si>
    <t>X.</t>
  </si>
  <si>
    <t>PEKERJAAN PENGECATAN</t>
  </si>
  <si>
    <t>Cat Dinding Dalam</t>
  </si>
  <si>
    <t>Cat Plafond</t>
  </si>
  <si>
    <t>Total X</t>
  </si>
  <si>
    <t>XI.</t>
  </si>
  <si>
    <t>PEKERJAAN PLUMBING</t>
  </si>
  <si>
    <t>Bak Kontrol 40 x 40 cm</t>
  </si>
  <si>
    <t>Bh</t>
  </si>
  <si>
    <t>Stop Kran</t>
  </si>
  <si>
    <t>Total XI</t>
  </si>
  <si>
    <t>XII.</t>
  </si>
  <si>
    <t>PEKERJAAN INSTALASI LISTRIK</t>
  </si>
  <si>
    <t>Instalasi Titik Lampu</t>
  </si>
  <si>
    <t>Ttk</t>
  </si>
  <si>
    <t>Instalasi Stop Kontak</t>
  </si>
  <si>
    <t>Panel Listrik</t>
  </si>
  <si>
    <t>Outlet Saklar</t>
  </si>
  <si>
    <t>Outlet Stopkontak</t>
  </si>
  <si>
    <t>Armateur Lampu</t>
  </si>
  <si>
    <t>XIII.</t>
  </si>
  <si>
    <t>PEKERJAAN SANITAIR</t>
  </si>
  <si>
    <t>Closet Duduk</t>
  </si>
  <si>
    <t>Wastafel</t>
  </si>
  <si>
    <t xml:space="preserve">Kran </t>
  </si>
  <si>
    <t>Floor Drain</t>
  </si>
  <si>
    <t>TOTAL</t>
  </si>
  <si>
    <t>BOGOR, 1 DESEMBER 2020</t>
  </si>
  <si>
    <t>Hormat kami,</t>
  </si>
  <si>
    <t>PEKERJAAN RESTO 300</t>
  </si>
  <si>
    <t>dinding</t>
  </si>
  <si>
    <t>2  -  4</t>
  </si>
  <si>
    <t>D</t>
  </si>
  <si>
    <t>E</t>
  </si>
  <si>
    <t>3  -  4</t>
  </si>
  <si>
    <t>A  -  E</t>
  </si>
  <si>
    <t>A  -  D</t>
  </si>
  <si>
    <t>A  -  F</t>
  </si>
  <si>
    <t>A  -  B</t>
  </si>
  <si>
    <t>pasang diding</t>
  </si>
  <si>
    <t>kusen</t>
  </si>
  <si>
    <t>j1</t>
  </si>
  <si>
    <t>j9</t>
  </si>
  <si>
    <t>BV</t>
  </si>
  <si>
    <t>j24</t>
  </si>
  <si>
    <t>pj</t>
  </si>
  <si>
    <t>M1</t>
  </si>
  <si>
    <t>pondasi batu</t>
  </si>
  <si>
    <t>gali pondasi</t>
  </si>
  <si>
    <t>urug pasir bawah pondasi</t>
  </si>
  <si>
    <t>urug pasir bawah pondasiCakar ayam</t>
  </si>
  <si>
    <t>sloof 15x25</t>
  </si>
  <si>
    <t>kolom praktis 15x15</t>
  </si>
  <si>
    <t>ringbalk 15x15</t>
  </si>
  <si>
    <t>Cor teras</t>
  </si>
  <si>
    <t>rangka atap baja ringan</t>
  </si>
  <si>
    <t>rangka atap panel Kayu</t>
  </si>
  <si>
    <t>luas atap</t>
  </si>
  <si>
    <t>LUas KUSEN SOPI</t>
  </si>
  <si>
    <t>Pajang kusen sopi</t>
  </si>
  <si>
    <t>luas kaca</t>
  </si>
  <si>
    <t>kusen BV 1</t>
  </si>
  <si>
    <t>kusen Bv  2</t>
  </si>
  <si>
    <t>kusen Bv  3</t>
  </si>
  <si>
    <t>Panjang  Kusen J9 4unit</t>
  </si>
  <si>
    <t>luas kaca J9</t>
  </si>
  <si>
    <t>jumlah</t>
  </si>
  <si>
    <t>kusen P4</t>
  </si>
  <si>
    <t>kusen P2</t>
  </si>
  <si>
    <t>berat</t>
  </si>
  <si>
    <t>Kolom WF 300x150x6,5x9</t>
  </si>
  <si>
    <t>Ringbalk WF 300</t>
  </si>
  <si>
    <t>kusen J9a</t>
  </si>
  <si>
    <t>luas Kaca J9a</t>
  </si>
  <si>
    <t>kusen J9b</t>
  </si>
  <si>
    <t>Kaca J9b</t>
  </si>
  <si>
    <t>kusen J9C</t>
  </si>
  <si>
    <t>Kaca J9C</t>
  </si>
  <si>
    <t xml:space="preserve">PONDASI TAPAK  P1  60x60X70   </t>
  </si>
  <si>
    <t>Kusen J24</t>
  </si>
  <si>
    <t>Kaca  J24</t>
  </si>
  <si>
    <r>
      <t xml:space="preserve">d. Besi Beton </t>
    </r>
    <r>
      <rPr>
        <sz val="12"/>
        <rFont val="Calibri"/>
        <family val="2"/>
      </rPr>
      <t>Ø</t>
    </r>
    <r>
      <rPr>
        <sz val="12"/>
        <rFont val="Calibri"/>
        <family val="2"/>
        <scheme val="minor"/>
      </rPr>
      <t xml:space="preserve"> 13 mm</t>
    </r>
  </si>
  <si>
    <r>
      <t xml:space="preserve">  g. Besi Beton </t>
    </r>
    <r>
      <rPr>
        <sz val="11"/>
        <color indexed="8"/>
        <rFont val="Calibri"/>
        <family val="2"/>
      </rPr>
      <t>Ø</t>
    </r>
    <r>
      <rPr>
        <sz val="11"/>
        <color theme="1"/>
        <rFont val="Calibri"/>
        <family val="2"/>
        <scheme val="minor"/>
      </rPr>
      <t>16</t>
    </r>
  </si>
  <si>
    <t xml:space="preserve">PONDASI TAPAK  P2  60x150X80   </t>
  </si>
  <si>
    <t>pasang keramik KM</t>
  </si>
  <si>
    <t xml:space="preserve">PONDASI TAPAK  P3  60x150X80   </t>
  </si>
  <si>
    <t>keramik Lantai 1</t>
  </si>
  <si>
    <t xml:space="preserve">PONDASI TAPAK  P4  150x150X80   </t>
  </si>
  <si>
    <t>keramik lantai 2</t>
  </si>
  <si>
    <t>kusen sopi-sopi</t>
  </si>
  <si>
    <t>Kolom  K1  40x40x1</t>
  </si>
  <si>
    <t>Kuda kuda Lantai 1</t>
  </si>
  <si>
    <t>Kolom  K2  40x40x1</t>
  </si>
  <si>
    <t>Kuda kuda Lantai 2</t>
  </si>
  <si>
    <t>d. Besi Beton dia. 19 mm</t>
  </si>
  <si>
    <t>e. Besi Beton dia. 13 mm</t>
  </si>
  <si>
    <t>Kolom pipa Ø200 tebal 8mm tinggi 350</t>
  </si>
  <si>
    <t>plat besi 25mm</t>
  </si>
  <si>
    <t>stiffener 12mm</t>
  </si>
  <si>
    <t>Kolom pipa Ø200 tebal 8mm tinggi 550</t>
  </si>
  <si>
    <t>Kuda-kuda lantai 2   WF200</t>
  </si>
  <si>
    <t>Kuda-kuda lantai atap 1 WF250</t>
  </si>
  <si>
    <t>Ring balok atap lantai 2   WF200</t>
  </si>
  <si>
    <t>Gording atap lantai 1   WF200</t>
  </si>
  <si>
    <t>Gording atap lantai 1 WF350</t>
  </si>
  <si>
    <t>Gording as  atap lantai 2  CNP 150.50.3,2mm</t>
  </si>
  <si>
    <t>Gording as  atap lantai 1  CNP 150.50.3,2mm</t>
  </si>
  <si>
    <t>ATP 1</t>
  </si>
  <si>
    <t>Gording WF250</t>
  </si>
  <si>
    <t>plat besi 12mm</t>
  </si>
  <si>
    <t>baut mur HTB</t>
  </si>
  <si>
    <t>ATP 2</t>
  </si>
  <si>
    <r>
      <t>M</t>
    </r>
    <r>
      <rPr>
        <vertAlign val="superscript"/>
        <sz val="12"/>
        <color theme="1"/>
        <rFont val="Calibri"/>
        <family val="2"/>
        <scheme val="minor"/>
      </rPr>
      <t>2</t>
    </r>
  </si>
  <si>
    <r>
      <t>M</t>
    </r>
    <r>
      <rPr>
        <vertAlign val="superscript"/>
        <sz val="12"/>
        <color theme="1"/>
        <rFont val="Calibri"/>
        <family val="2"/>
        <scheme val="minor"/>
      </rPr>
      <t>1</t>
    </r>
  </si>
  <si>
    <r>
      <t>M</t>
    </r>
    <r>
      <rPr>
        <vertAlign val="superscript"/>
        <sz val="12"/>
        <color theme="1"/>
        <rFont val="Calibri"/>
        <family val="2"/>
        <scheme val="minor"/>
      </rPr>
      <t>3</t>
    </r>
  </si>
  <si>
    <t>PEKERJAAN PLAFOND</t>
  </si>
  <si>
    <t>Total XII</t>
  </si>
  <si>
    <t>Total XIII</t>
  </si>
  <si>
    <t>Bangunan Unit Air Bersih Ground Water Tank Kap 30 m3</t>
  </si>
  <si>
    <t>Galian Tanah Pondasi</t>
  </si>
  <si>
    <t>Perataan tanah</t>
  </si>
  <si>
    <t>Pekerjaan Pondasi</t>
  </si>
  <si>
    <t>Pasir urug tebal 5cm</t>
  </si>
  <si>
    <t>Lantai kerja tebal 5cm</t>
  </si>
  <si>
    <t xml:space="preserve">Sloof Beton Bertulang 15x20cm </t>
  </si>
  <si>
    <t>Pekerjaan Beton Bertulang</t>
  </si>
  <si>
    <t>Kolom Beton Bertulang 25x25 cm</t>
  </si>
  <si>
    <t>Ring Balk Beton Bertulang 15x25  cm</t>
  </si>
  <si>
    <t>Plat Dak Beton Tebal 20cm</t>
  </si>
  <si>
    <t>Dinding Beton Tebal 20cm</t>
  </si>
  <si>
    <t>Lantai Beton tebal 12 cm</t>
  </si>
  <si>
    <t>Pekerjaan Logam</t>
  </si>
  <si>
    <t>Tangga</t>
  </si>
  <si>
    <t>Manhole</t>
  </si>
  <si>
    <t>Pekerjaan Perpipaan &amp; Accessories</t>
  </si>
  <si>
    <t>Floating Valve</t>
  </si>
  <si>
    <t>Vent Gip dia 50</t>
  </si>
  <si>
    <t xml:space="preserve">Pipa Inlet dia 3" , 2" , </t>
  </si>
  <si>
    <t>Accessories</t>
  </si>
  <si>
    <t>Pekerjaan Cat dan Waterproofing</t>
  </si>
  <si>
    <t>Waterproofing bagian dalam</t>
  </si>
  <si>
    <t>Waterproofing bagian atap</t>
  </si>
  <si>
    <t>Epoxy dinding dalam</t>
  </si>
  <si>
    <t>Bangunan Gardu Listrik 8x8m</t>
  </si>
  <si>
    <t>Urugan Tanah Kembali</t>
  </si>
  <si>
    <t xml:space="preserve">Timbunan tanah </t>
  </si>
  <si>
    <t>Beton Mutu K 225 termasuk besi beton dan bekisting</t>
  </si>
  <si>
    <t>Plat Dak Beton Tebal 12cm</t>
  </si>
  <si>
    <t>Canopy beton tebal 12 cm</t>
  </si>
  <si>
    <t xml:space="preserve">Pekerjaan Dinding </t>
  </si>
  <si>
    <t>Pasangan dinding bata merah</t>
  </si>
  <si>
    <t>Pasangan dinding Bawah bata merah</t>
  </si>
  <si>
    <t>Trap Tangga Pasangan Bata Merah</t>
  </si>
  <si>
    <t>Pekerjaan Pelapis Dinding</t>
  </si>
  <si>
    <t>Plester Aci dinding Bangunan</t>
  </si>
  <si>
    <t>Plester Aci dinding Peninggian Pondasi</t>
  </si>
  <si>
    <t>Pekerjaan Pengecatan dan Aquaproof</t>
  </si>
  <si>
    <t>Mowilex atau setara waterbase</t>
  </si>
  <si>
    <t>Dinding Bangunan</t>
  </si>
  <si>
    <t>Dinding Peninggian Lantai</t>
  </si>
  <si>
    <t>Waterproofing dak beton</t>
  </si>
  <si>
    <t>Pekerjaan Pintu Jendela</t>
  </si>
  <si>
    <t>Pintu Metal Doble 180 x 220 cm</t>
  </si>
  <si>
    <t>Jalusi Jendela 120 x 60 cm</t>
  </si>
  <si>
    <t>Jalusi Jendela 180 x 60 cm</t>
  </si>
  <si>
    <t>Pipa Air Hujan PVC 3inc 4 buah dan Accessories</t>
  </si>
  <si>
    <t>Instalasi titik lampu</t>
  </si>
  <si>
    <t>Instalasi stop kontak</t>
  </si>
  <si>
    <t>Lampu dan fitting</t>
  </si>
  <si>
    <t>Persiapan &amp; Penyelesaiaan</t>
  </si>
  <si>
    <t xml:space="preserve">Galian Tanah </t>
  </si>
  <si>
    <t>Pekerjaan Pondasi Beton</t>
  </si>
  <si>
    <t>Sloof 15/15</t>
  </si>
  <si>
    <t xml:space="preserve">Kolom Praktis 15x15 </t>
  </si>
  <si>
    <t>Ring Balok  15x15</t>
  </si>
  <si>
    <t>Pasangan dinding Bata merah</t>
  </si>
  <si>
    <t>Pasangan dinding bata expose</t>
  </si>
  <si>
    <t xml:space="preserve">Variasi Penebalan dinding </t>
  </si>
  <si>
    <t>Kuda - Kuda baja ringan</t>
  </si>
  <si>
    <t>Atap Spandek Pasir</t>
  </si>
  <si>
    <t>Nok</t>
  </si>
  <si>
    <t>Pekerjaan Plafond</t>
  </si>
  <si>
    <t>M2</t>
  </si>
  <si>
    <t>Pekerjaan Lantai</t>
  </si>
  <si>
    <t>M3</t>
  </si>
  <si>
    <t>Floor lantai Dasar t = 3 cm</t>
  </si>
  <si>
    <t>Pekerjaan Pintu dan Jendela</t>
  </si>
  <si>
    <t xml:space="preserve">Jendela BV </t>
  </si>
  <si>
    <t>Pintu dan Kusen</t>
  </si>
  <si>
    <t>Jendela J2</t>
  </si>
  <si>
    <t>Pintu PVC</t>
  </si>
  <si>
    <t>Pekerjaan Pengecatan</t>
  </si>
  <si>
    <t>Pekerjaan Instalasi Air</t>
  </si>
  <si>
    <t>Instalasi Air Bersih  dan Air Buangan</t>
  </si>
  <si>
    <t>Galian septictank +buangtanah</t>
  </si>
  <si>
    <t>Septictank Biotech lengkap</t>
  </si>
  <si>
    <t>Pekerjaan Instalasi Listrik</t>
  </si>
  <si>
    <t>Titik Lampu  + lampu LSD</t>
  </si>
  <si>
    <t>Inst. Stop Kontak</t>
  </si>
  <si>
    <t>Box Skring</t>
  </si>
  <si>
    <t>Outlet Saklar dan Stop Kontak</t>
  </si>
  <si>
    <t>Pekerjaan Sanitair</t>
  </si>
  <si>
    <t>Closet Jongkok</t>
  </si>
  <si>
    <t>Kran</t>
  </si>
  <si>
    <t>Kran Wastafel</t>
  </si>
  <si>
    <t>Bangunan Pos Jaga 5x5m</t>
  </si>
  <si>
    <t>Bouplank</t>
  </si>
  <si>
    <t xml:space="preserve">Plat Lantai 15 cm </t>
  </si>
  <si>
    <t>Pekerjaan Pasangan Dinding</t>
  </si>
  <si>
    <t>Pasangan dinding bata ringan</t>
  </si>
  <si>
    <t>Plester dan Pasang Bata tempel</t>
  </si>
  <si>
    <t>Pintu Kayu Kusen Alumunium lengkap handle engsel</t>
  </si>
  <si>
    <t>Pintu Spandril Toilet  Alumunium lengkap handle engsel</t>
  </si>
  <si>
    <t>Kaca Jendela 5mm clear</t>
  </si>
  <si>
    <t xml:space="preserve">Bovenlight 50x40 kusen alumunium </t>
  </si>
  <si>
    <t>Pekerjaan Lantai dan Dinding</t>
  </si>
  <si>
    <t>Keramik Lantai 40x40</t>
  </si>
  <si>
    <t>Keramik Kamar Mandi 20x20</t>
  </si>
  <si>
    <t>Keramik dinding Kamar Mandi</t>
  </si>
  <si>
    <t>Trap Tangga Kayu</t>
  </si>
  <si>
    <t>Kran dinding</t>
  </si>
  <si>
    <t>Shower</t>
  </si>
  <si>
    <t>Floordrain</t>
  </si>
  <si>
    <t>Pekerjaan Atap Spandek</t>
  </si>
  <si>
    <t>Bangunan Resto 200 m2 Blok A</t>
  </si>
  <si>
    <t>No. 001/RAB-Blok A-SSBP/I/2021</t>
  </si>
  <si>
    <t>Bangunan Resto 300 m2 Blok A</t>
  </si>
  <si>
    <t>No. 002/RAB-Blok A-SSBP/I/2021</t>
  </si>
  <si>
    <t>No. 002/RAB-Blok A -SSBP/I/2021</t>
  </si>
  <si>
    <t>No. 004/RAB-Blok A-SSBP/I/2021</t>
  </si>
  <si>
    <t>Bangunan : Pos Jaga  Blok A</t>
  </si>
  <si>
    <t>Tempat Pembuangan Sampah Blok A</t>
  </si>
  <si>
    <t>Bangunan Gardu Listrik PLN Blok A</t>
  </si>
  <si>
    <t>Bangunan Unit Air Bersih 10m x 10m  Blok A</t>
  </si>
  <si>
    <t>Bangunan Unit Air Bersih Blok A</t>
  </si>
  <si>
    <t>No. 023/RAB-Blok A -SSBP/I/2021</t>
  </si>
  <si>
    <t>variasi penebalan dindng</t>
  </si>
  <si>
    <t>pasang dinding</t>
  </si>
  <si>
    <t>Luas pintu PVC/KM</t>
  </si>
  <si>
    <t>Luas pintu</t>
  </si>
  <si>
    <t>kusen linkaran d 12  r6 pj3,76</t>
  </si>
  <si>
    <t>Ji</t>
  </si>
  <si>
    <t>kaca Sopi-sopi</t>
  </si>
  <si>
    <t>Kusen Sopi-sopi</t>
  </si>
  <si>
    <t>kusen tampak dpn</t>
  </si>
  <si>
    <t>Rangka kusen dinding depan aluminium</t>
  </si>
  <si>
    <t>Kusen P1</t>
  </si>
  <si>
    <t>pasang bata ringan</t>
  </si>
  <si>
    <t>PINTU PVC KM</t>
  </si>
  <si>
    <t>kusen pintu</t>
  </si>
  <si>
    <t>plapon pvc</t>
  </si>
  <si>
    <t>luas atap kaca</t>
  </si>
  <si>
    <t>luas atap genting</t>
  </si>
  <si>
    <t>Gali pondasi Cakar Ayam</t>
  </si>
  <si>
    <t>B  -  F</t>
  </si>
  <si>
    <t>PEKERJAAN CAPE 200</t>
  </si>
  <si>
    <t>Harga Dasar Per M² Bangunan</t>
  </si>
  <si>
    <t>Luas Bangunan (M²)</t>
  </si>
  <si>
    <t>Grand Total</t>
  </si>
  <si>
    <t>PPN 10 %</t>
  </si>
  <si>
    <t>Dibulatkan</t>
  </si>
  <si>
    <t xml:space="preserve">Total </t>
  </si>
  <si>
    <t>Jasa kontraktor 10 %</t>
  </si>
  <si>
    <t>Total ( I s/d XVII )</t>
  </si>
  <si>
    <t>Sub Total XVI.</t>
  </si>
  <si>
    <t>ex Amirican Standart,putih</t>
  </si>
  <si>
    <t>PEKERJAAN ACCESSORIES SANITAR</t>
  </si>
  <si>
    <t>Sub Total XV.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</si>
  <si>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</si>
  <si>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bu owner</t>
  </si>
  <si>
    <t>listrik PLN (METERAN) 900 wat</t>
  </si>
  <si>
    <r>
      <t>M</t>
    </r>
    <r>
      <rPr>
        <vertAlign val="superscript"/>
        <sz val="10"/>
        <rFont val="Calibri"/>
        <family val="2"/>
        <scheme val="minor"/>
      </rPr>
      <t>1</t>
    </r>
  </si>
  <si>
    <t>NYY 4 x 10 mm + pipa PVC</t>
  </si>
  <si>
    <t>Kabel Toevoer</t>
  </si>
  <si>
    <t>Ex Clipsal/setara</t>
  </si>
  <si>
    <t xml:space="preserve">NYM 3 x 2,5 mm ex. Eterna +  T dus + Conduit </t>
  </si>
  <si>
    <t>NYM 2 x12,5 mm ex. Eterna + Conduit High impact (Clipsal ) + T dus</t>
  </si>
  <si>
    <t>PEKERJAAN INSTALASI LISTRIK :</t>
  </si>
  <si>
    <t>Sub Total XIV.</t>
  </si>
  <si>
    <t>Pengeboran sumur 24 mtr</t>
  </si>
  <si>
    <t>toren air 500 liter +asasoris</t>
  </si>
  <si>
    <t>ex Shimitsu</t>
  </si>
  <si>
    <t xml:space="preserve">Pompa Hisap 250 watt </t>
  </si>
  <si>
    <t>Ball Valve Q 20 Wespex</t>
  </si>
  <si>
    <t>Pemasangan Septictank +asasoris</t>
  </si>
  <si>
    <r>
      <t>M</t>
    </r>
    <r>
      <rPr>
        <vertAlign val="superscript"/>
        <sz val="10"/>
        <rFont val="Calibri"/>
        <family val="2"/>
        <scheme val="minor"/>
      </rPr>
      <t>3</t>
    </r>
  </si>
  <si>
    <t>Pas. Bata-Tutup beton</t>
  </si>
  <si>
    <t>PVC ¾" type AW-Ex Wavin</t>
  </si>
  <si>
    <t xml:space="preserve">Instalasi Air Bersih </t>
  </si>
  <si>
    <t>PEKERJAAN INSTALASI AIR :</t>
  </si>
  <si>
    <t>Sub Total XII.</t>
  </si>
  <si>
    <r>
      <t>M</t>
    </r>
    <r>
      <rPr>
        <vertAlign val="superscript"/>
        <sz val="10"/>
        <rFont val="Calibri"/>
        <family val="2"/>
        <scheme val="minor"/>
      </rPr>
      <t>2</t>
    </r>
  </si>
  <si>
    <t>Ex Vinilex atau setara</t>
  </si>
  <si>
    <t>Cat Plapon</t>
  </si>
  <si>
    <t>PEKERJAAN PENGECATAN :</t>
  </si>
  <si>
    <t>Sub Total X.</t>
  </si>
  <si>
    <t>Kusen pvc</t>
  </si>
  <si>
    <t>Sub Total VIII.</t>
  </si>
  <si>
    <t>keramik teras depan</t>
  </si>
  <si>
    <t>mulia</t>
  </si>
  <si>
    <t>1 PC : 3 Psr</t>
  </si>
  <si>
    <t>Pasir Urug</t>
  </si>
  <si>
    <t>Dengan Stemper Machine</t>
  </si>
  <si>
    <t>PEKERJAAN LANTAI :</t>
  </si>
  <si>
    <t>Sub Total VII.</t>
  </si>
  <si>
    <t>PEKERJAAN PLAFOND :</t>
  </si>
  <si>
    <t>Sub Total VI.</t>
  </si>
  <si>
    <t>PEKERJAAN ATAP :</t>
  </si>
  <si>
    <t>Sub Total V.</t>
  </si>
  <si>
    <t>PEKERJAAN PELAPIS DINDING :</t>
  </si>
  <si>
    <t>Sub Total IV.</t>
  </si>
  <si>
    <t>PEKERJAAN DINDING :</t>
  </si>
  <si>
    <t>Sub Total III.</t>
  </si>
  <si>
    <t xml:space="preserve">K-225 </t>
  </si>
  <si>
    <t>Sloof 15/25</t>
  </si>
  <si>
    <t>PEKERJAAN KONSTRUKSI BETON :</t>
  </si>
  <si>
    <t>Sub Total II.</t>
  </si>
  <si>
    <t>Urugan pasir bawah Pondasi Cakar Ayam</t>
  </si>
  <si>
    <t>1 PC : 5 Psr</t>
  </si>
  <si>
    <t>Pasir Urug  t = 5 cm</t>
  </si>
  <si>
    <t>PEKERJAAN PONDASI :</t>
  </si>
  <si>
    <t>Sub Total I.</t>
  </si>
  <si>
    <t>Di dalam Kavling</t>
  </si>
  <si>
    <t>( Rp )</t>
  </si>
  <si>
    <t>Bobot</t>
  </si>
  <si>
    <t>Harga Satuan</t>
  </si>
  <si>
    <t>Sat</t>
  </si>
  <si>
    <t xml:space="preserve">Spesifikasi </t>
  </si>
  <si>
    <t xml:space="preserve">RAB </t>
  </si>
  <si>
    <t>RUV/000/</t>
  </si>
  <si>
    <t>PUNCAK</t>
  </si>
  <si>
    <t>Lokasi</t>
  </si>
  <si>
    <t>AGROWISATA</t>
  </si>
  <si>
    <t>Pemilik</t>
  </si>
  <si>
    <t xml:space="preserve">TYPE </t>
  </si>
  <si>
    <t>Kolom  CC2  45x45x1</t>
  </si>
  <si>
    <t>Kolom  CC1  40x40x1</t>
  </si>
  <si>
    <t>PONDASI TAPAK  P4  150x150X75</t>
  </si>
  <si>
    <t xml:space="preserve">PONDASI TAPAK  P2  60x150X75  </t>
  </si>
  <si>
    <t xml:space="preserve">PONDASI TAPAK  P1  60x60X75 </t>
  </si>
  <si>
    <t>rangka atap samping kiri belakang</t>
  </si>
  <si>
    <t>rangka atap samping kiri depan WF300</t>
  </si>
  <si>
    <t>rangka atap tampak depanBJ WF 300</t>
  </si>
  <si>
    <t>Ring Balok Struktur Atap WF300</t>
  </si>
  <si>
    <t>Kuda-kudaplg 2500 WF300 tinggi 500</t>
  </si>
  <si>
    <t>Kolom WF300 tinggi 500</t>
  </si>
  <si>
    <t>kaca</t>
  </si>
  <si>
    <t>J9 b</t>
  </si>
  <si>
    <t>J9  a</t>
  </si>
  <si>
    <t>J12 Besar</t>
  </si>
  <si>
    <t>J12 Kecil</t>
  </si>
  <si>
    <t>kac a</t>
  </si>
  <si>
    <t>P2,Bv</t>
  </si>
  <si>
    <t>P2</t>
  </si>
  <si>
    <t>kaca sopi belakang</t>
  </si>
  <si>
    <t>Kusen sopi belakang</t>
  </si>
  <si>
    <t>Luas Kaca kusen Sopi</t>
  </si>
  <si>
    <t>Panjang Kusen depan</t>
  </si>
  <si>
    <t>Kusen sopi depan</t>
  </si>
  <si>
    <t>G2</t>
  </si>
  <si>
    <t>Ringbalk Lantai 2 WF 300</t>
  </si>
  <si>
    <t>Ringbalk Lantai 1 WF 300</t>
  </si>
  <si>
    <t>Kolom WF 150x75x5x7</t>
  </si>
  <si>
    <t>Kolom WF 300</t>
  </si>
  <si>
    <t>Atap WF 150x75x5x7</t>
  </si>
  <si>
    <t>Atap WF 300x150x6,5x9</t>
  </si>
  <si>
    <t>luas plapon</t>
  </si>
  <si>
    <t>Pagar</t>
  </si>
  <si>
    <t>Bangunan</t>
  </si>
  <si>
    <t>PASANG  DINDING</t>
  </si>
  <si>
    <t>C  -  E</t>
  </si>
  <si>
    <t>D  -  E</t>
  </si>
  <si>
    <t>C  -  F</t>
  </si>
  <si>
    <t>1  -  6</t>
  </si>
  <si>
    <t>2  -  5</t>
  </si>
  <si>
    <t>3  -  5</t>
  </si>
  <si>
    <t>PEKERJAAN MESJID BLOK A</t>
  </si>
  <si>
    <t>luas dinding</t>
  </si>
  <si>
    <t>Bv</t>
  </si>
  <si>
    <t>kusen j4</t>
  </si>
  <si>
    <t>ring balk 15x15</t>
  </si>
  <si>
    <t>Kolom praktis 15x15x3</t>
  </si>
  <si>
    <t>SLOOF 15X20</t>
  </si>
  <si>
    <t>PONDASI BATU KALI</t>
  </si>
  <si>
    <t>GALIAN PONDASI</t>
  </si>
  <si>
    <t>↓</t>
  </si>
  <si>
    <t>→</t>
  </si>
  <si>
    <t>Sloof    15x15x1</t>
  </si>
  <si>
    <t>Kuda-kuda WF300</t>
  </si>
  <si>
    <t>XIV.</t>
  </si>
  <si>
    <t>Kusen P2</t>
  </si>
  <si>
    <t>luas kaca kusen depan</t>
  </si>
  <si>
    <t>luas kaca kusen 10 mm</t>
  </si>
  <si>
    <t>Galian Tanah Pondasi Tapak</t>
  </si>
  <si>
    <t>closet Jongkok</t>
  </si>
  <si>
    <t>kusen J4</t>
  </si>
  <si>
    <t xml:space="preserve">keramik lantai </t>
  </si>
  <si>
    <t>Pasang talang bajaringan</t>
  </si>
  <si>
    <t>Atap Bitumen</t>
  </si>
  <si>
    <t>Pasangan dinding bata Expose</t>
  </si>
  <si>
    <t>Sloof 15/20</t>
  </si>
  <si>
    <t>Pos jaga 32 m2</t>
  </si>
  <si>
    <t>Pintu P1</t>
  </si>
  <si>
    <t>Kusen Pj1 2 Unit</t>
  </si>
  <si>
    <t xml:space="preserve">luas kaca kusen PJ2. 10 mm </t>
  </si>
  <si>
    <t>Kusen PJ2.</t>
  </si>
  <si>
    <t xml:space="preserve">luas kaca kusen J12 10 mm </t>
  </si>
  <si>
    <t>Kusen J12.  3 unit</t>
  </si>
  <si>
    <t xml:space="preserve">luas kaca kusen doatas ring balk 10 mm </t>
  </si>
  <si>
    <t>Kusen diatas ring balk samping kiri kanan</t>
  </si>
  <si>
    <t>luas kaca kusen Sopi10 mm</t>
  </si>
  <si>
    <t xml:space="preserve">Kusen rangka aluminium Sopi </t>
  </si>
  <si>
    <t>br</t>
  </si>
  <si>
    <t>Pondasi Tapak P2</t>
  </si>
  <si>
    <t>Sloof    20x15x1</t>
  </si>
  <si>
    <t>Kolom Praktis 15x15 tinggi 3,1</t>
  </si>
  <si>
    <t>pondasi</t>
  </si>
  <si>
    <t>GALIAN TANAH</t>
  </si>
  <si>
    <t>c</t>
  </si>
  <si>
    <t>Blok A Kios Pujasera</t>
  </si>
  <si>
    <t>Bangunan Kios Pujasera  Blok A</t>
  </si>
  <si>
    <t>PEKERJAAN BETON</t>
  </si>
  <si>
    <t xml:space="preserve"> </t>
  </si>
  <si>
    <t>PEKERJAAN PINTU &amp; JENDELA</t>
  </si>
  <si>
    <t>Cat Plafon</t>
  </si>
  <si>
    <t>No. 008/RAB-Blok A -SSBP/I/2021</t>
  </si>
  <si>
    <t>Bangunan Kios Pujasera 20 Kios dan 2 Toilet Blok A</t>
  </si>
  <si>
    <t>Bangunan Resto 400 m2  Blok A</t>
  </si>
  <si>
    <t>Bangunan Resto 400 m2 Blok A</t>
  </si>
  <si>
    <t>M</t>
  </si>
  <si>
    <t>PEKERJAAN resto 400</t>
  </si>
  <si>
    <t>Keramik teras depan</t>
  </si>
  <si>
    <t>Keramik Lantai Toilet</t>
  </si>
  <si>
    <t>Bangunan Posko Off Road Komodo  Blok A</t>
  </si>
  <si>
    <t>No. 012/RAB-Blok A-SSBP/I/2021</t>
  </si>
  <si>
    <t>Bangunan Posko ATV dan Bengkel Komodo Blok A</t>
  </si>
  <si>
    <t>Bangunan Pusat Informasi  Blok A</t>
  </si>
  <si>
    <t>Pondasi Tapak P4</t>
  </si>
  <si>
    <t>Gording WF200</t>
  </si>
  <si>
    <t>Keramik Toilet</t>
  </si>
  <si>
    <t>PEKERJAAN  SANITAIR</t>
  </si>
  <si>
    <t>Bangunan Pos Polisi Blok A</t>
  </si>
  <si>
    <t>No. 013/RAB-Blok A-SSBP/I/2021</t>
  </si>
  <si>
    <t>PEKERJAAN LISTRIK</t>
  </si>
  <si>
    <t>Bangunan Pos Polisi  Blok A</t>
  </si>
  <si>
    <t>Pasangan dinding Batu Alam</t>
  </si>
  <si>
    <t xml:space="preserve">Keramik lantai </t>
  </si>
  <si>
    <t>Jendela Kaca</t>
  </si>
  <si>
    <t xml:space="preserve">  g. Besi Beton Ø10</t>
  </si>
  <si>
    <t xml:space="preserve">lANTAI  TANGGA 20x200X1300   </t>
  </si>
  <si>
    <r>
      <t xml:space="preserve">  g. Besi Beton </t>
    </r>
    <r>
      <rPr>
        <sz val="11"/>
        <color indexed="8"/>
        <rFont val="Calibri"/>
        <family val="2"/>
      </rPr>
      <t>Ø</t>
    </r>
    <r>
      <rPr>
        <sz val="11"/>
        <color theme="1"/>
        <rFont val="Calibri"/>
        <family val="2"/>
        <scheme val="minor"/>
      </rPr>
      <t>10</t>
    </r>
  </si>
  <si>
    <t xml:space="preserve">PONDASI TAPAK  TANGGA 140x200X30   </t>
  </si>
  <si>
    <t xml:space="preserve">angkur </t>
  </si>
  <si>
    <t>RF 1 dan RF 3</t>
  </si>
  <si>
    <t>RF 2 dan RF6</t>
  </si>
  <si>
    <t>stiffener</t>
  </si>
  <si>
    <r>
      <t xml:space="preserve">Kolom pipa </t>
    </r>
    <r>
      <rPr>
        <sz val="11"/>
        <color indexed="8"/>
        <rFont val="Calibri"/>
        <family val="2"/>
      </rPr>
      <t>Ø</t>
    </r>
    <r>
      <rPr>
        <sz val="11"/>
        <color theme="1"/>
        <rFont val="Calibri"/>
        <family val="2"/>
        <scheme val="minor"/>
      </rPr>
      <t>300 tebal 10mm  tinggi 985</t>
    </r>
  </si>
  <si>
    <r>
      <t xml:space="preserve">Kolom pipa </t>
    </r>
    <r>
      <rPr>
        <sz val="11"/>
        <color indexed="8"/>
        <rFont val="Calibri"/>
        <family val="2"/>
      </rPr>
      <t>Ø</t>
    </r>
    <r>
      <rPr>
        <sz val="11"/>
        <color theme="1"/>
        <rFont val="Calibri"/>
        <family val="2"/>
        <scheme val="minor"/>
      </rPr>
      <t>300 tebal 10mm tinggi 900</t>
    </r>
  </si>
  <si>
    <t>as.6</t>
  </si>
  <si>
    <r>
      <t xml:space="preserve">Kolom pipa </t>
    </r>
    <r>
      <rPr>
        <sz val="11"/>
        <color indexed="8"/>
        <rFont val="Calibri"/>
        <family val="2"/>
      </rPr>
      <t>Ø</t>
    </r>
    <r>
      <rPr>
        <sz val="11"/>
        <color theme="1"/>
        <rFont val="Calibri"/>
        <family val="2"/>
        <scheme val="minor"/>
      </rPr>
      <t>300 tebal 10mm tinggi 750</t>
    </r>
  </si>
  <si>
    <t>as.5</t>
  </si>
  <si>
    <r>
      <t xml:space="preserve">Kolom pipa </t>
    </r>
    <r>
      <rPr>
        <sz val="11"/>
        <color indexed="8"/>
        <rFont val="Calibri"/>
        <family val="2"/>
      </rPr>
      <t>Ø</t>
    </r>
    <r>
      <rPr>
        <sz val="11"/>
        <color theme="1"/>
        <rFont val="Calibri"/>
        <family val="2"/>
        <scheme val="minor"/>
      </rPr>
      <t xml:space="preserve">300 tebal 10mm tinggi 320 </t>
    </r>
  </si>
  <si>
    <t>as.2,3&amp;4</t>
  </si>
  <si>
    <r>
      <t xml:space="preserve">Kolom pipa </t>
    </r>
    <r>
      <rPr>
        <sz val="11"/>
        <color indexed="8"/>
        <rFont val="Calibri"/>
        <family val="2"/>
      </rPr>
      <t>Ø</t>
    </r>
    <r>
      <rPr>
        <sz val="11"/>
        <color theme="1"/>
        <rFont val="Calibri"/>
        <family val="2"/>
        <scheme val="minor"/>
      </rPr>
      <t>300 tebal 10mm tinggi 320. as. 1</t>
    </r>
  </si>
  <si>
    <t>as.1</t>
  </si>
  <si>
    <t>Pedestal</t>
  </si>
  <si>
    <t>Kuda-kuda atap  WF250 Muiem &amp; R Tunggu</t>
  </si>
  <si>
    <t>Ring Balok atap l WF250</t>
  </si>
  <si>
    <t>Balok Lantai 2 WF400 lantai atas</t>
  </si>
  <si>
    <t xml:space="preserve"> Balok WF350 lantai atas</t>
  </si>
  <si>
    <t xml:space="preserve"> Balok Lt 2 WF300 lantai atas</t>
  </si>
  <si>
    <t>JUMLAHPANJANG</t>
  </si>
  <si>
    <t>Sloof    70x30x1</t>
  </si>
  <si>
    <t>A  -  I</t>
  </si>
  <si>
    <t>H</t>
  </si>
  <si>
    <t>G</t>
  </si>
  <si>
    <t>Bangunan Resto 1000 m2 Blok A</t>
  </si>
  <si>
    <t xml:space="preserve">luas kaca kusen J24 10 mm </t>
  </si>
  <si>
    <t xml:space="preserve">Kusen J16  Lt 1 samping Kiri </t>
  </si>
  <si>
    <t xml:space="preserve">Kusen J18  Lt 1 samping Kiri </t>
  </si>
  <si>
    <t xml:space="preserve">Kusen J24  Lt 1 samping Kiri </t>
  </si>
  <si>
    <t xml:space="preserve">luas kaca kusen J30 10 mm </t>
  </si>
  <si>
    <t xml:space="preserve">Kusen J30 Lt 1 samping Kiri </t>
  </si>
  <si>
    <t>Kusen J30 Lt 1</t>
  </si>
  <si>
    <t xml:space="preserve">luas kaca kusen sopi 10 mm depan </t>
  </si>
  <si>
    <t xml:space="preserve">Kusen rangka aluminium Lt 2 sopi depan </t>
  </si>
  <si>
    <t xml:space="preserve">Kusen rangka aluminium Lt 2 depan </t>
  </si>
  <si>
    <t>Bangunan Resto 1000  Blok A</t>
  </si>
  <si>
    <t>No. 009/RAB-Blok A-SSBP/I/2021</t>
  </si>
  <si>
    <t>Bangunan Pusat Informasi Blok A</t>
  </si>
  <si>
    <t>Bangunan Klinik Blok A</t>
  </si>
  <si>
    <t>Pintu Spandril Alumunium</t>
  </si>
  <si>
    <t>Pintu Jendela PJ5</t>
  </si>
  <si>
    <t xml:space="preserve">Jendela  BV </t>
  </si>
  <si>
    <t>Keramik lantai  Toilet</t>
  </si>
  <si>
    <t>Atap Kaca</t>
  </si>
  <si>
    <t>Bangunan Klinik  Blok A</t>
  </si>
  <si>
    <t>Blok A Klinik</t>
  </si>
  <si>
    <t>No. 018/RAB-Blok A-SSBP/I/2021</t>
  </si>
  <si>
    <t>Bangunan Saung Makan Blok A</t>
  </si>
  <si>
    <t>Bangunan Jembatan Pandang Blok A</t>
  </si>
  <si>
    <t>Cat Finish</t>
  </si>
  <si>
    <t>Cat Zyngcromate</t>
  </si>
  <si>
    <t>Variasi relling 112m1</t>
  </si>
  <si>
    <t>Relling Jembatan</t>
  </si>
  <si>
    <t>Tangga Jembatam 200x420</t>
  </si>
  <si>
    <t>Cor plat 2x6670</t>
  </si>
  <si>
    <t>Cor plat 2400x600</t>
  </si>
  <si>
    <t>Cor plat 1300x600</t>
  </si>
  <si>
    <t>Sloof TB1 .250x500</t>
  </si>
  <si>
    <r>
      <t xml:space="preserve">Ikatan Angin Bracing </t>
    </r>
    <r>
      <rPr>
        <sz val="12"/>
        <color theme="1"/>
        <rFont val="Calibri"/>
        <family val="2"/>
      </rPr>
      <t>Ø22</t>
    </r>
  </si>
  <si>
    <t>Balok Plat B3.  WF150</t>
  </si>
  <si>
    <t>Balok Plat B2.  WF250</t>
  </si>
  <si>
    <t>Balok Plat B1.  WF 300</t>
  </si>
  <si>
    <t xml:space="preserve">Pipa  Ø400 tebal 12mm </t>
  </si>
  <si>
    <t>bru</t>
  </si>
  <si>
    <r>
      <t xml:space="preserve">Pipa  </t>
    </r>
    <r>
      <rPr>
        <sz val="12"/>
        <color theme="1"/>
        <rFont val="Calibri"/>
        <family val="2"/>
      </rPr>
      <t>Ø300</t>
    </r>
    <r>
      <rPr>
        <sz val="12"/>
        <color theme="1"/>
        <rFont val="Calibri"/>
        <family val="2"/>
        <scheme val="minor"/>
      </rPr>
      <t xml:space="preserve">  tebal 10mm </t>
    </r>
  </si>
  <si>
    <t>titik</t>
  </si>
  <si>
    <r>
      <t xml:space="preserve">Kolom Struktur </t>
    </r>
    <r>
      <rPr>
        <sz val="12"/>
        <color theme="1"/>
        <rFont val="Calibri"/>
        <family val="2"/>
      </rPr>
      <t>Ø30</t>
    </r>
    <r>
      <rPr>
        <sz val="12"/>
        <color theme="1"/>
        <rFont val="Calibri"/>
        <family val="2"/>
        <scheme val="minor"/>
      </rPr>
      <t xml:space="preserve">  CS1</t>
    </r>
  </si>
  <si>
    <r>
      <t xml:space="preserve">Kolom Struktur </t>
    </r>
    <r>
      <rPr>
        <sz val="12"/>
        <color theme="1"/>
        <rFont val="Calibri"/>
        <family val="2"/>
      </rPr>
      <t>Ø40 Cs2</t>
    </r>
  </si>
  <si>
    <t>Pedestal 85x85x35mm</t>
  </si>
  <si>
    <t>Pedestal 70x70x30mm</t>
  </si>
  <si>
    <t>PEKERJAAN ACCESSORIES SANITAIR</t>
  </si>
  <si>
    <t>No. 005/RAB-Blok A-SSBP/I/2021</t>
  </si>
  <si>
    <t>No. 017/RAB-Blok A-SSBP/I/2021</t>
  </si>
  <si>
    <t>No. 015/RAB-Blok A-SSBP/I/2021</t>
  </si>
  <si>
    <t>Jumah</t>
  </si>
  <si>
    <t>Urinoir</t>
  </si>
  <si>
    <t>Pasangan dinding loster</t>
  </si>
  <si>
    <t>Kolom Praktis 15x15</t>
  </si>
  <si>
    <t>Kolom Struktur 20x20</t>
  </si>
  <si>
    <t>Sloof 15/30</t>
  </si>
  <si>
    <t>Pondasi tapak 90x90x30</t>
  </si>
  <si>
    <t>Galian Tanah Pondasi tapak 90x90</t>
  </si>
  <si>
    <t>Pasangan dinding Loster</t>
  </si>
  <si>
    <t>Cat duko</t>
  </si>
  <si>
    <t>Kawat Harmonika</t>
  </si>
  <si>
    <t>Btng</t>
  </si>
  <si>
    <t>Besi Siku 6x6</t>
  </si>
  <si>
    <t>Papan Bengkirai 3x20x300</t>
  </si>
  <si>
    <t>Balok  Kayu Bengkirai 5x7</t>
  </si>
  <si>
    <t>Kolom struktur 20x20 tinggi 830</t>
  </si>
  <si>
    <t>Pintu Alumunium Spandril</t>
  </si>
  <si>
    <t>No. 010/RAB-Blok A-SSBP/I/2021</t>
  </si>
  <si>
    <t>Bangunan Toilet 30m2 Blok A</t>
  </si>
  <si>
    <t>PEKERJAAN INSTALASI PLUMBING</t>
  </si>
  <si>
    <t>PEKERJAAN PERSIAPAN DAN PENYELESAIAN</t>
  </si>
  <si>
    <t>Bangunan Toilet Blok 30 m2 A</t>
  </si>
  <si>
    <t>Bangunan Toilet 34 m2 Blok A</t>
  </si>
  <si>
    <t>Bangunan Toilet 34m2 Blok A</t>
  </si>
  <si>
    <t>No. 011/RAB-Blok A-SSBP/I/2021</t>
  </si>
  <si>
    <r>
      <t xml:space="preserve">Tiang Besi hollow bulat </t>
    </r>
    <r>
      <rPr>
        <sz val="12"/>
        <rFont val="Calibri"/>
        <family val="2"/>
      </rPr>
      <t>Ø15Cm</t>
    </r>
  </si>
  <si>
    <t>Atap Galvalum</t>
  </si>
  <si>
    <t>Keramik Lantai Ruangan</t>
  </si>
  <si>
    <t>Jendela BV</t>
  </si>
  <si>
    <t>Pintu Kaca Alumunium Depan</t>
  </si>
  <si>
    <t>Jendela J1 120x180</t>
  </si>
  <si>
    <t>Jendela J2  320x180</t>
  </si>
  <si>
    <t>Bangunan Damkar Blok A</t>
  </si>
  <si>
    <t>Blok A Damkar</t>
  </si>
  <si>
    <t>No. 019/RAB-Blok A-SSBP/I/2021</t>
  </si>
  <si>
    <t>No. 022/RAB-Blok A-SSBP/I/2021</t>
  </si>
  <si>
    <t>No. 024/RAB-Blok A -SSBP/I/2021</t>
  </si>
  <si>
    <t>Bangunan Titik Pandang Bus Blok A</t>
  </si>
  <si>
    <r>
      <t xml:space="preserve">Kolom pipa besi </t>
    </r>
    <r>
      <rPr>
        <sz val="12"/>
        <rFont val="Calibri"/>
        <family val="2"/>
      </rPr>
      <t>Ø15Cm</t>
    </r>
  </si>
  <si>
    <t>Lantai Bata</t>
  </si>
  <si>
    <t>No. 020/RAB-Blok A-SSBP/I/2021</t>
  </si>
  <si>
    <t>Balok struktur  15x30</t>
  </si>
  <si>
    <t xml:space="preserve">Beton Plat Lantai </t>
  </si>
  <si>
    <t>Pipa Besi Galvanis Ø3"</t>
  </si>
  <si>
    <t>Bangunan Titik Pandang Blok A</t>
  </si>
  <si>
    <t>Bangunan Ruang Tunggu Bis Blok A</t>
  </si>
  <si>
    <t>Bangunan Ruang Tunggu Sopir Bus Blok A</t>
  </si>
  <si>
    <t>No. 016/RAB-Blok A-SSBP/I/2021</t>
  </si>
  <si>
    <t>PEKERJAAN STRUKTUR</t>
  </si>
  <si>
    <t>Bangunan Cafe 200 m2 Blok A</t>
  </si>
  <si>
    <t>No. 006/RAB-Blok A -SSBP/I/2021</t>
  </si>
  <si>
    <t>No. 006/RAB-Blok A-SSBP/I/2021</t>
  </si>
  <si>
    <t>Bangunan Pusat Keamanan Blok A</t>
  </si>
  <si>
    <t>Pekerjaan Keramik Lantai</t>
  </si>
  <si>
    <t>Lantai Toilet</t>
  </si>
  <si>
    <t>Lantai Ruangan</t>
  </si>
  <si>
    <t>Lantai Teras</t>
  </si>
  <si>
    <t>Pintu Kayu Panel Kusen Alumunium</t>
  </si>
  <si>
    <t>Jendela Kaca kusen alumunium</t>
  </si>
  <si>
    <t>Jendela gendong</t>
  </si>
  <si>
    <t>No. 014/RAB-Blok A-SSBP/I/2021</t>
  </si>
  <si>
    <t>Bangunan Masjid Blok A</t>
  </si>
  <si>
    <t>No. 003/RAB-Blok A-SSBP/I/2021</t>
  </si>
  <si>
    <t>Ipal diatas Tanah dengan penutup atap</t>
  </si>
  <si>
    <t>Lengkap dengan  MEP</t>
  </si>
  <si>
    <t>Bangunan IPAL Blok A</t>
  </si>
  <si>
    <t>No. 021/RAB-Blok A-SSBP/I/2021</t>
  </si>
  <si>
    <t>Kapasitas 102 m3  Untuk kapasitas 2.000 orang</t>
  </si>
  <si>
    <t>Note : Mengacu  Kepada RAB MEP - Bagian IV.A ( Elektrikal )</t>
  </si>
  <si>
    <t>Note : Mengacu  Kepada RAB MEP - Bagian IV.C ( Elektrikal )</t>
  </si>
  <si>
    <t>Note : Mengacu  Kepada RAB MEP - Bagian IV.E ( Elektrikal )</t>
  </si>
  <si>
    <t>Note : Mengacu  Kepada RAB MEP - Bagian IV.J( Elektrikal )</t>
  </si>
  <si>
    <t>Note : Mengacu  Kepada RAB MEP - Bagian IV.D ( Elektrikal )</t>
  </si>
  <si>
    <t>Note : Mengacu  Kepada RAB MEP - Bagian IV.B ( Elektrikal )</t>
  </si>
  <si>
    <t>Note : Mengacu  Kepada RAB MEP - Bagian IV.N ( Elektrikal )</t>
  </si>
  <si>
    <t>Note : Mengacu  Kepada RAB MEP - Bagian IV.L ( Elektrikal )</t>
  </si>
  <si>
    <t>Note : Mengacu  Kepada RAB MEP - Bagian IV.I ( Elektrikal )</t>
  </si>
  <si>
    <t>Note : Mengacu  Kepada RAB MEP - Bagian IV.H ( Elektrikal )</t>
  </si>
  <si>
    <t>Note : Mengacu  Kepada RAB MEP - Bagian IV.G ( Elektrikal )</t>
  </si>
  <si>
    <t>Note : Mengacu  Kepada RAB MEP - Bagian VI.L ( Elektrikal )</t>
  </si>
  <si>
    <t>XIV</t>
  </si>
  <si>
    <t>Total XIV</t>
  </si>
  <si>
    <t>No. 007/RAB-Blok A -SSBP/I/2021</t>
  </si>
  <si>
    <t>No. 007/RAB-Blok A-SSBP/I/2021</t>
  </si>
  <si>
    <t>Note : Mengacu  Kepada RAB MEP - Bagian IV.M ( Elektrikal )</t>
  </si>
  <si>
    <t>Note : Mengacu  Kepada RAB MEP - Bagian VI.F ( Plumbing )</t>
  </si>
  <si>
    <t>Note : Mengacu  Kepada RAB MEP - Bagian VI.D ( Plumbing )</t>
  </si>
  <si>
    <t>Note : Mengacu  Kepada RAB MEP - Bagian VI.C ( Plumbing )</t>
  </si>
  <si>
    <t>Note : Mengacu  Kepada RAB MEP - Bagian VI.B ( Plumbing )</t>
  </si>
  <si>
    <t>Note : Mengacu  Kepada RAB MEP - Bagian VI.A ( Plumbing )</t>
  </si>
  <si>
    <t>Note : Mengacu  Kepada RAB MEP - Bagian VI.G ( Plumbing )</t>
  </si>
  <si>
    <t>Note : Mengacu  Kepada RAB MEP - Bagian VI.H ( Plumbing )</t>
  </si>
  <si>
    <t>Note : Mengacu  Kepada RAB MEP - Bagian VI.I ( Plumbing )</t>
  </si>
  <si>
    <t>Note : Mengacu  Kepada RAB MEP - Bagian VI.J ( Plumbing )</t>
  </si>
  <si>
    <t>Note : Mengacu  Kepada RAB MEP - Bagian VI.K ( Plumbing )</t>
  </si>
  <si>
    <t>PEKERJAAN LAN</t>
  </si>
  <si>
    <t>Rl</t>
  </si>
  <si>
    <t>PEKERJAAN  CCTV</t>
  </si>
  <si>
    <t>PEKERJAAN WIFI</t>
  </si>
  <si>
    <t>MATERIAL TAMBAHAN</t>
  </si>
  <si>
    <t>PEKERJAAN PABX</t>
  </si>
  <si>
    <t>PEKERJAAN  LAN</t>
  </si>
  <si>
    <t>PEKERJAAN CCTV</t>
  </si>
  <si>
    <t>Pk</t>
  </si>
  <si>
    <t>Ps</t>
  </si>
  <si>
    <t>Bx</t>
  </si>
  <si>
    <t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</si>
</sst>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7">
    <numFmt numFmtId="5" formatCode="&quot;Rp&quot;#,##0;\-&quot;Rp&quot;#,##0"/>
    <numFmt numFmtId="42" formatCode="_-&quot;Rp&quot;* #,##0_-;\-&quot;Rp&quot;* #,##0_-;_-&quot;Rp&quot;* &quot;-&quot;_-;_-@_-"/>
    <numFmt numFmtId="43" formatCode="_-* #,##0.00_-;\-* #,##0.00_-;_-* &quot;-&quot;??_-;_-@_-"/>
    <numFmt numFmtId="164" formatCode="_(* #,##0_);_(* \(#,##0\);_(* &quot;-&quot;_);_(@_)"/>
    <numFmt numFmtId="165" formatCode="_(* #,##0.00_);_(* \(#,##0.00\);_(* &quot;-&quot;??_);_(@_)"/>
    <numFmt numFmtId="166" formatCode="_(* #,##0_);_(* \(#,##0\);_(* &quot;-&quot;??_);_(@_)"/>
    <numFmt numFmtId="167" formatCode="_-* #,##0_-;\-* #,##0_-;_-* &quot;-&quot;??_-;_-@_-"/>
    <numFmt numFmtId="168" formatCode="_ * #,##0_ ;_ * \-#,##0_ ;_ * &quot;-&quot;_ ;_ @_ "/>
    <numFmt numFmtId="169" formatCode="_(* #,##0.00_);_(* \(#,##0.00\);_(* &quot;-&quot;_);_(@_)"/>
    <numFmt numFmtId="170" formatCode="&quot;Rp&quot;#,##0_);\(&quot;Rp&quot;#,##0\)"/>
    <numFmt numFmtId="171" formatCode="_(&quot;Rp&quot;* #,##0_);_(&quot;Rp&quot;* \(#,##0\);_(&quot;Rp&quot;* &quot;-&quot;_);_(@_)"/>
    <numFmt numFmtId="172" formatCode="_(* #,##0.000_);_(* \(#,##0.000\);_(* &quot;-&quot;???_);_(@_)"/>
    <numFmt numFmtId="173" formatCode="_-[$Rp-421]* #,##0.00_ ;_-[$Rp-421]* \-#,##0.00\ ;_-[$Rp-421]* &quot;-&quot;??_ ;_-@_ "/>
    <numFmt numFmtId="174" formatCode="_(* #,##0.000_);_(* \(#,##0.000\);_(* &quot;-&quot;??_);_(@_)"/>
    <numFmt numFmtId="175" formatCode="0.000%"/>
    <numFmt numFmtId="176" formatCode="_(* #,##0.0_);_(* \(#,##0.0\);_(* &quot;-&quot;?_);_(@_)"/>
    <numFmt numFmtId="177" formatCode="_(* #,##0.00_);_(* \(#,##0.00\);_(* \-??_);_(@_)"/>
  </numFmts>
  <fonts count="10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indexed="8"/>
      <name val="Calibri"/>
      <family val="2"/>
      <charset val="1"/>
    </font>
    <font>
      <sz val="12"/>
      <color indexed="8"/>
      <name val="Calibri"/>
      <family val="2"/>
      <scheme val="minor"/>
    </font>
    <font>
      <sz val="10"/>
      <name val="Arial"/>
      <family val="2"/>
    </font>
    <font>
      <sz val="12"/>
      <name val="Calibri"/>
      <family val="2"/>
      <scheme val="minor"/>
    </font>
    <font>
      <b/>
      <sz val="12"/>
      <color indexed="8"/>
      <name val="Calibri"/>
      <family val="2"/>
      <scheme val="minor"/>
    </font>
    <font>
      <b/>
      <sz val="12"/>
      <name val="Calibri"/>
      <family val="2"/>
      <scheme val="minor"/>
    </font>
    <font>
      <sz val="11"/>
      <name val="Calibri"/>
      <family val="2"/>
    </font>
    <font>
      <sz val="12"/>
      <color indexed="10"/>
      <name val="Calibri"/>
      <family val="2"/>
      <scheme val="minor"/>
    </font>
    <font>
      <b/>
      <sz val="12"/>
      <color indexed="10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Arial"/>
      <family val="2"/>
    </font>
    <font>
      <b/>
      <sz val="12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sz val="14"/>
      <name val="Calibri"/>
      <family val="2"/>
      <scheme val="minor"/>
    </font>
    <font>
      <b/>
      <i/>
      <sz val="12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b/>
      <sz val="12"/>
      <color theme="1"/>
      <name val="Century Gothic"/>
      <family val="2"/>
    </font>
    <font>
      <b/>
      <sz val="10"/>
      <color theme="1"/>
      <name val="Century Gothic"/>
      <family val="2"/>
    </font>
    <font>
      <b/>
      <sz val="10"/>
      <color theme="1"/>
      <name val="Calibri"/>
      <family val="2"/>
    </font>
    <font>
      <b/>
      <sz val="8.5"/>
      <color theme="1"/>
      <name val="Century Gothic"/>
      <family val="2"/>
    </font>
    <font>
      <sz val="10"/>
      <color theme="1"/>
      <name val="Century Gothic"/>
      <family val="2"/>
    </font>
    <font>
      <b/>
      <sz val="9"/>
      <color theme="1"/>
      <name val="Century Gothic"/>
      <family val="2"/>
    </font>
    <font>
      <sz val="9"/>
      <color theme="1"/>
      <name val="Century Gothic"/>
      <family val="2"/>
    </font>
    <font>
      <b/>
      <sz val="14"/>
      <color theme="1"/>
      <name val="Calibri"/>
      <family val="2"/>
      <scheme val="minor"/>
    </font>
    <font>
      <b/>
      <sz val="11"/>
      <color rgb="FF0070C0"/>
      <name val="Calibri"/>
      <family val="2"/>
    </font>
    <font>
      <sz val="11"/>
      <color rgb="FFFF0000"/>
      <name val="Calibri"/>
      <family val="2"/>
      <scheme val="minor"/>
    </font>
    <font>
      <b/>
      <sz val="11"/>
      <color indexed="8"/>
      <name val="Calibri"/>
      <family val="2"/>
      <charset val="134"/>
    </font>
    <font>
      <b/>
      <sz val="11"/>
      <color indexed="8"/>
      <name val="Calibri"/>
      <family val="2"/>
    </font>
    <font>
      <b/>
      <u val="singleAccounting"/>
      <sz val="11"/>
      <color indexed="8"/>
      <name val="Calibri"/>
      <family val="2"/>
      <charset val="134"/>
    </font>
    <font>
      <b/>
      <sz val="12"/>
      <color indexed="8"/>
      <name val="Calibri"/>
      <family val="2"/>
    </font>
    <font>
      <sz val="11"/>
      <color indexed="8"/>
      <name val="Calibri"/>
      <family val="2"/>
      <charset val="134"/>
    </font>
    <font>
      <sz val="10"/>
      <name val="Calibri"/>
      <family val="2"/>
      <scheme val="minor"/>
    </font>
    <font>
      <vertAlign val="superscript"/>
      <sz val="12"/>
      <name val="Calibri"/>
      <family val="2"/>
      <scheme val="minor"/>
    </font>
    <font>
      <b/>
      <i/>
      <u/>
      <sz val="12"/>
      <name val="Calibri"/>
      <family val="2"/>
      <scheme val="minor"/>
    </font>
    <font>
      <u val="singleAccounting"/>
      <sz val="11"/>
      <color indexed="8"/>
      <name val="Calibri"/>
      <family val="2"/>
      <charset val="1"/>
    </font>
    <font>
      <sz val="11"/>
      <color indexed="8"/>
      <name val="Calibri"/>
      <family val="2"/>
    </font>
    <font>
      <b/>
      <sz val="12"/>
      <color indexed="8"/>
      <name val="Calibri"/>
      <family val="2"/>
      <charset val="134"/>
    </font>
    <font>
      <sz val="11"/>
      <color rgb="FFFF0000"/>
      <name val="Calibri"/>
      <family val="2"/>
      <charset val="1"/>
    </font>
    <font>
      <sz val="11"/>
      <color rgb="FF0070C0"/>
      <name val="Calibri"/>
      <family val="2"/>
      <charset val="1"/>
    </font>
    <font>
      <sz val="12"/>
      <color rgb="FFFF0000"/>
      <name val="Calibri"/>
      <family val="2"/>
      <charset val="1"/>
    </font>
    <font>
      <sz val="12"/>
      <color indexed="8"/>
      <name val="Calibri"/>
      <family val="2"/>
    </font>
    <font>
      <sz val="12"/>
      <color rgb="FFFF0000"/>
      <name val="Calibri"/>
      <family val="2"/>
    </font>
    <font>
      <sz val="11"/>
      <color rgb="FFFF0000"/>
      <name val="Calibri"/>
      <family val="2"/>
    </font>
    <font>
      <sz val="10"/>
      <name val="Calibri"/>
      <family val="2"/>
      <charset val="134"/>
    </font>
    <font>
      <sz val="11"/>
      <name val="Calibri"/>
      <family val="2"/>
      <charset val="1"/>
    </font>
    <font>
      <b/>
      <sz val="12"/>
      <color rgb="FFFF0000"/>
      <name val="Calibri"/>
      <family val="2"/>
    </font>
    <font>
      <sz val="11"/>
      <name val="Calibri"/>
      <family val="2"/>
      <charset val="134"/>
    </font>
    <font>
      <b/>
      <sz val="11"/>
      <name val="Calibri"/>
      <family val="2"/>
      <charset val="134"/>
    </font>
    <font>
      <sz val="12"/>
      <name val="Calibri"/>
      <family val="2"/>
      <charset val="134"/>
    </font>
    <font>
      <sz val="11"/>
      <name val="Arial Narrow"/>
      <family val="2"/>
      <charset val="134"/>
    </font>
    <font>
      <b/>
      <sz val="11"/>
      <name val="Arial Narrow"/>
      <family val="2"/>
      <charset val="134"/>
    </font>
    <font>
      <vertAlign val="superscript"/>
      <sz val="11"/>
      <name val="Arial Narrow"/>
      <family val="2"/>
      <charset val="134"/>
    </font>
    <font>
      <b/>
      <i/>
      <u/>
      <sz val="11"/>
      <name val="Arial Narrow"/>
      <family val="2"/>
      <charset val="134"/>
    </font>
    <font>
      <b/>
      <i/>
      <sz val="11"/>
      <name val="Arial Narrow"/>
      <family val="2"/>
      <charset val="134"/>
    </font>
    <font>
      <b/>
      <sz val="11"/>
      <color indexed="8"/>
      <name val="Arial Narrow"/>
      <family val="2"/>
      <charset val="134"/>
    </font>
    <font>
      <sz val="11"/>
      <color indexed="8"/>
      <name val="Arial Narrow"/>
      <family val="2"/>
      <charset val="134"/>
    </font>
    <font>
      <b/>
      <sz val="11"/>
      <name val="Calibri"/>
      <family val="2"/>
      <charset val="1"/>
    </font>
    <font>
      <b/>
      <sz val="11"/>
      <color indexed="8"/>
      <name val="Calibri"/>
      <family val="2"/>
      <charset val="1"/>
    </font>
    <font>
      <b/>
      <sz val="12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indexed="10"/>
      <name val="Calibri"/>
      <family val="2"/>
      <charset val="1"/>
    </font>
    <font>
      <b/>
      <sz val="11"/>
      <color rgb="FFFF0000"/>
      <name val="Calibri"/>
      <family val="2"/>
    </font>
    <font>
      <u val="singleAccounting"/>
      <sz val="11"/>
      <color indexed="8"/>
      <name val="Calibri"/>
      <family val="2"/>
      <charset val="134"/>
    </font>
    <font>
      <sz val="11"/>
      <color indexed="10"/>
      <name val="Calibri"/>
      <family val="2"/>
      <charset val="134"/>
    </font>
    <font>
      <sz val="12"/>
      <color rgb="FFFF0000"/>
      <name val="Calibri"/>
      <family val="2"/>
      <scheme val="minor"/>
    </font>
    <font>
      <sz val="10.199999999999999"/>
      <color indexed="8"/>
      <name val="Calibri"/>
      <family val="2"/>
    </font>
    <font>
      <u val="singleAccounting"/>
      <sz val="12"/>
      <color indexed="8"/>
      <name val="Calibri"/>
      <family val="2"/>
      <scheme val="minor"/>
    </font>
    <font>
      <b/>
      <i/>
      <sz val="12"/>
      <color indexed="8"/>
      <name val="Calibri"/>
      <family val="2"/>
      <scheme val="minor"/>
    </font>
    <font>
      <b/>
      <u/>
      <sz val="12"/>
      <color indexed="8"/>
      <name val="Calibri"/>
      <family val="2"/>
      <scheme val="minor"/>
    </font>
    <font>
      <sz val="12"/>
      <name val="Calibri"/>
      <family val="2"/>
    </font>
    <font>
      <b/>
      <u/>
      <sz val="12"/>
      <name val="Calibri"/>
      <family val="2"/>
      <scheme val="minor"/>
    </font>
    <font>
      <b/>
      <sz val="12"/>
      <color theme="3" tint="0.39997558519241921"/>
      <name val="Calibri"/>
      <family val="2"/>
    </font>
    <font>
      <sz val="11"/>
      <color theme="3" tint="0.39997558519241921"/>
      <name val="Calibri"/>
      <family val="2"/>
      <charset val="1"/>
    </font>
    <font>
      <b/>
      <sz val="14"/>
      <color indexed="8"/>
      <name val="Calibri"/>
      <family val="2"/>
    </font>
    <font>
      <sz val="11"/>
      <color theme="1"/>
      <name val="Calibri"/>
      <family val="2"/>
    </font>
    <font>
      <sz val="12"/>
      <color theme="1"/>
      <name val="Calibri"/>
      <family val="2"/>
      <charset val="1"/>
    </font>
    <font>
      <b/>
      <sz val="11"/>
      <color rgb="FFFF0000"/>
      <name val="Calibri"/>
      <family val="2"/>
      <scheme val="minor"/>
    </font>
    <font>
      <vertAlign val="superscript"/>
      <sz val="12"/>
      <color theme="1"/>
      <name val="Calibri"/>
      <family val="2"/>
      <scheme val="minor"/>
    </font>
    <font>
      <sz val="12"/>
      <color theme="1"/>
      <name val="Calibri"/>
      <family val="2"/>
    </font>
    <font>
      <b/>
      <i/>
      <sz val="12"/>
      <color theme="1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b/>
      <sz val="10"/>
      <color indexed="8"/>
      <name val="Calibri"/>
      <family val="2"/>
      <scheme val="minor"/>
    </font>
    <font>
      <b/>
      <sz val="10"/>
      <name val="Calibri"/>
      <family val="2"/>
      <scheme val="minor"/>
    </font>
    <font>
      <b/>
      <u/>
      <sz val="10"/>
      <name val="Calibri"/>
      <family val="2"/>
      <scheme val="minor"/>
    </font>
    <font>
      <b/>
      <i/>
      <sz val="10"/>
      <name val="Calibri"/>
      <family val="2"/>
      <scheme val="minor"/>
    </font>
    <font>
      <sz val="10"/>
      <color rgb="FFFF0000"/>
      <name val="Calibri"/>
      <family val="2"/>
      <scheme val="minor"/>
    </font>
    <font>
      <vertAlign val="superscript"/>
      <sz val="1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2"/>
      <color rgb="FF0070C0"/>
      <name val="Calibri"/>
      <family val="2"/>
    </font>
    <font>
      <b/>
      <sz val="12"/>
      <color rgb="FF0070C0"/>
      <name val="Calibri"/>
      <family val="2"/>
      <scheme val="minor"/>
    </font>
    <font>
      <sz val="11"/>
      <color rgb="FF0070C0"/>
      <name val="Calibri"/>
      <family val="2"/>
    </font>
    <font>
      <sz val="10"/>
      <color rgb="FF0070C0"/>
      <name val="Calibri"/>
      <family val="2"/>
      <charset val="134"/>
    </font>
    <font>
      <b/>
      <sz val="11"/>
      <color indexed="8"/>
      <name val="Calibri"/>
      <family val="2"/>
      <scheme val="minor"/>
    </font>
    <font>
      <sz val="11"/>
      <color indexed="8"/>
      <name val="Calibri"/>
      <family val="2"/>
      <scheme val="minor"/>
    </font>
    <font>
      <sz val="12"/>
      <color indexed="8"/>
      <name val="Calibri"/>
      <family val="2"/>
      <charset val="1"/>
    </font>
    <font>
      <sz val="8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6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0000"/>
        <bgColor indexed="64"/>
      </patternFill>
    </fill>
  </fills>
  <borders count="68">
    <border>
      <left/>
      <right/>
      <top/>
      <bottom/>
      <diagonal/>
    </border>
    <border>
      <left/>
      <right/>
      <top/>
      <bottom style="double">
        <color auto="1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 style="thin">
        <color indexed="64"/>
      </left>
      <right/>
      <top style="double">
        <color indexed="64"/>
      </top>
      <bottom/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double">
        <color indexed="64"/>
      </right>
      <top/>
      <bottom/>
      <diagonal/>
    </border>
    <border>
      <left style="double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 style="double">
        <color indexed="64"/>
      </right>
      <top/>
      <bottom style="double">
        <color indexed="64"/>
      </bottom>
      <diagonal/>
    </border>
    <border>
      <left style="thin">
        <color indexed="55"/>
      </left>
      <right/>
      <top/>
      <bottom/>
      <diagonal/>
    </border>
    <border>
      <left/>
      <right style="double">
        <color indexed="64"/>
      </right>
      <top/>
      <bottom/>
      <diagonal/>
    </border>
    <border>
      <left style="double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double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double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double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double">
        <color auto="1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3">
    <xf numFmtId="0" fontId="0" fillId="0" borderId="0"/>
    <xf numFmtId="165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3" fillId="0" borderId="0">
      <alignment vertical="center"/>
    </xf>
    <xf numFmtId="0" fontId="5" fillId="0" borderId="0">
      <alignment vertical="center"/>
    </xf>
    <xf numFmtId="165" fontId="9" fillId="0" borderId="0" applyFont="0" applyFill="0" applyBorder="0" applyAlignment="0" applyProtection="0">
      <alignment vertical="center"/>
    </xf>
    <xf numFmtId="164" fontId="9" fillId="0" borderId="0" applyFont="0" applyFill="0" applyBorder="0" applyAlignment="0" applyProtection="0">
      <alignment vertical="center"/>
    </xf>
    <xf numFmtId="0" fontId="5" fillId="0" borderId="0">
      <alignment vertical="center"/>
    </xf>
    <xf numFmtId="0" fontId="5" fillId="0" borderId="0"/>
    <xf numFmtId="165" fontId="13" fillId="0" borderId="0" applyFont="0" applyFill="0" applyBorder="0" applyAlignment="0" applyProtection="0"/>
    <xf numFmtId="0" fontId="18" fillId="0" borderId="0"/>
    <xf numFmtId="165" fontId="18" fillId="0" borderId="0" applyFont="0" applyFill="0" applyBorder="0" applyAlignment="0" applyProtection="0"/>
    <xf numFmtId="164" fontId="18" fillId="0" borderId="0" applyFont="0" applyFill="0" applyBorder="0" applyAlignment="0" applyProtection="0"/>
    <xf numFmtId="168" fontId="9" fillId="0" borderId="0" applyFont="0" applyFill="0" applyBorder="0" applyAlignment="0" applyProtection="0">
      <alignment vertical="center"/>
    </xf>
    <xf numFmtId="0" fontId="33" fillId="0" borderId="0">
      <alignment vertical="center"/>
    </xf>
    <xf numFmtId="165" fontId="9" fillId="0" borderId="0" applyFont="0" applyFill="0" applyBorder="0" applyAlignment="0" applyProtection="0">
      <alignment vertical="center"/>
    </xf>
    <xf numFmtId="9" fontId="3" fillId="0" borderId="0" applyFont="0" applyFill="0" applyBorder="0" applyAlignment="0" applyProtection="0">
      <alignment vertical="center"/>
    </xf>
    <xf numFmtId="0" fontId="1" fillId="0" borderId="0"/>
    <xf numFmtId="0" fontId="1" fillId="0" borderId="0"/>
    <xf numFmtId="165" fontId="1" fillId="0" borderId="0" applyFont="0" applyFill="0" applyBorder="0" applyAlignment="0" applyProtection="0"/>
    <xf numFmtId="165" fontId="1" fillId="0" borderId="0" applyFont="0" applyFill="0" applyBorder="0" applyAlignment="0" applyProtection="0"/>
    <xf numFmtId="0" fontId="1" fillId="0" borderId="0"/>
    <xf numFmtId="165" fontId="1" fillId="0" borderId="0" applyFont="0" applyFill="0" applyBorder="0" applyAlignment="0" applyProtection="0"/>
  </cellStyleXfs>
  <cellXfs count="1158">
    <xf numFmtId="0" fontId="0" fillId="0" borderId="0" xfId="0"/>
    <xf numFmtId="0" fontId="4" fillId="0" borderId="0" xfId="3" applyFont="1" applyAlignment="1"/>
    <xf numFmtId="0" fontId="6" fillId="0" borderId="0" xfId="4" applyFont="1" applyAlignment="1">
      <alignment horizontal="left"/>
    </xf>
    <xf numFmtId="166" fontId="4" fillId="0" borderId="0" xfId="1" applyNumberFormat="1" applyFont="1" applyFill="1" applyAlignment="1"/>
    <xf numFmtId="0" fontId="7" fillId="0" borderId="0" xfId="0" applyFont="1"/>
    <xf numFmtId="0" fontId="8" fillId="0" borderId="0" xfId="4" applyFont="1" applyAlignment="1">
      <alignment horizontal="center"/>
    </xf>
    <xf numFmtId="0" fontId="8" fillId="0" borderId="0" xfId="4" applyFont="1" applyAlignment="1">
      <alignment horizontal="left"/>
    </xf>
    <xf numFmtId="0" fontId="7" fillId="0" borderId="0" xfId="0" applyFont="1" applyAlignment="1">
      <alignment horizontal="left"/>
    </xf>
    <xf numFmtId="0" fontId="8" fillId="0" borderId="2" xfId="4" applyFont="1" applyBorder="1" applyAlignment="1">
      <alignment horizontal="center"/>
    </xf>
    <xf numFmtId="0" fontId="8" fillId="0" borderId="3" xfId="4" applyFont="1" applyBorder="1" applyAlignment="1"/>
    <xf numFmtId="0" fontId="8" fillId="0" borderId="4" xfId="4" applyFont="1" applyBorder="1" applyAlignment="1">
      <alignment horizontal="center"/>
    </xf>
    <xf numFmtId="0" fontId="8" fillId="0" borderId="5" xfId="4" applyFont="1" applyBorder="1" applyAlignment="1">
      <alignment horizontal="center"/>
    </xf>
    <xf numFmtId="166" fontId="8" fillId="0" borderId="5" xfId="1" applyNumberFormat="1" applyFont="1" applyFill="1" applyBorder="1" applyAlignment="1">
      <alignment horizontal="center"/>
    </xf>
    <xf numFmtId="165" fontId="8" fillId="0" borderId="6" xfId="5" applyFont="1" applyFill="1" applyBorder="1" applyAlignment="1">
      <alignment horizontal="center"/>
    </xf>
    <xf numFmtId="0" fontId="8" fillId="0" borderId="7" xfId="4" applyFont="1" applyBorder="1" applyAlignment="1">
      <alignment horizontal="center"/>
    </xf>
    <xf numFmtId="0" fontId="8" fillId="0" borderId="0" xfId="4" applyFont="1" applyAlignment="1">
      <alignment horizontal="centerContinuous"/>
    </xf>
    <xf numFmtId="0" fontId="8" fillId="0" borderId="8" xfId="4" applyFont="1" applyBorder="1" applyAlignment="1">
      <alignment horizontal="center"/>
    </xf>
    <xf numFmtId="0" fontId="8" fillId="0" borderId="9" xfId="4" applyFont="1" applyBorder="1" applyAlignment="1">
      <alignment horizontal="center"/>
    </xf>
    <xf numFmtId="166" fontId="8" fillId="0" borderId="9" xfId="1" applyNumberFormat="1" applyFont="1" applyFill="1" applyBorder="1" applyAlignment="1">
      <alignment horizontal="center"/>
    </xf>
    <xf numFmtId="165" fontId="8" fillId="0" borderId="10" xfId="5" applyFont="1" applyFill="1" applyBorder="1" applyAlignment="1">
      <alignment horizontal="center"/>
    </xf>
    <xf numFmtId="0" fontId="8" fillId="0" borderId="11" xfId="4" applyFont="1" applyBorder="1" applyAlignment="1">
      <alignment horizontal="center"/>
    </xf>
    <xf numFmtId="0" fontId="8" fillId="0" borderId="1" xfId="4" applyFont="1" applyBorder="1" applyAlignment="1"/>
    <xf numFmtId="0" fontId="8" fillId="0" borderId="12" xfId="4" applyFont="1" applyBorder="1" applyAlignment="1">
      <alignment horizontal="center"/>
    </xf>
    <xf numFmtId="0" fontId="8" fillId="0" borderId="13" xfId="4" applyFont="1" applyBorder="1" applyAlignment="1">
      <alignment horizontal="center"/>
    </xf>
    <xf numFmtId="166" fontId="8" fillId="0" borderId="13" xfId="1" applyNumberFormat="1" applyFont="1" applyFill="1" applyBorder="1" applyAlignment="1">
      <alignment horizontal="center"/>
    </xf>
    <xf numFmtId="165" fontId="8" fillId="0" borderId="14" xfId="5" applyFont="1" applyFill="1" applyBorder="1" applyAlignment="1">
      <alignment horizontal="center"/>
    </xf>
    <xf numFmtId="0" fontId="6" fillId="0" borderId="0" xfId="4" applyFont="1" applyAlignment="1"/>
    <xf numFmtId="0" fontId="6" fillId="0" borderId="8" xfId="4" applyFont="1" applyBorder="1" applyAlignment="1">
      <alignment horizontal="center"/>
    </xf>
    <xf numFmtId="165" fontId="6" fillId="0" borderId="9" xfId="5" applyFont="1" applyFill="1" applyBorder="1" applyAlignment="1"/>
    <xf numFmtId="166" fontId="10" fillId="0" borderId="9" xfId="1" applyNumberFormat="1" applyFont="1" applyFill="1" applyBorder="1" applyAlignment="1"/>
    <xf numFmtId="0" fontId="8" fillId="0" borderId="0" xfId="4" applyFont="1" applyAlignment="1"/>
    <xf numFmtId="165" fontId="8" fillId="0" borderId="9" xfId="5" applyFont="1" applyFill="1" applyBorder="1" applyAlignment="1"/>
    <xf numFmtId="166" fontId="11" fillId="0" borderId="9" xfId="1" applyNumberFormat="1" applyFont="1" applyFill="1" applyBorder="1" applyAlignment="1"/>
    <xf numFmtId="166" fontId="6" fillId="0" borderId="9" xfId="1" applyNumberFormat="1" applyFont="1" applyFill="1" applyBorder="1" applyAlignment="1"/>
    <xf numFmtId="166" fontId="12" fillId="0" borderId="10" xfId="5" applyNumberFormat="1" applyFont="1" applyFill="1" applyBorder="1" applyAlignment="1"/>
    <xf numFmtId="0" fontId="12" fillId="0" borderId="0" xfId="0" applyFont="1"/>
    <xf numFmtId="0" fontId="12" fillId="0" borderId="15" xfId="8" applyFont="1" applyBorder="1"/>
    <xf numFmtId="0" fontId="12" fillId="0" borderId="0" xfId="7" applyFont="1" applyAlignment="1">
      <alignment horizontal="justify" vertical="center" wrapText="1"/>
    </xf>
    <xf numFmtId="165" fontId="6" fillId="0" borderId="0" xfId="5" applyFont="1" applyFill="1" applyBorder="1" applyAlignment="1"/>
    <xf numFmtId="0" fontId="12" fillId="0" borderId="0" xfId="3" applyFont="1" applyAlignment="1"/>
    <xf numFmtId="0" fontId="14" fillId="0" borderId="0" xfId="3" applyFont="1" applyAlignment="1"/>
    <xf numFmtId="0" fontId="12" fillId="0" borderId="0" xfId="4" applyFont="1" applyAlignment="1">
      <alignment horizontal="left"/>
    </xf>
    <xf numFmtId="0" fontId="14" fillId="0" borderId="0" xfId="0" applyFont="1"/>
    <xf numFmtId="0" fontId="14" fillId="0" borderId="0" xfId="4" applyFont="1" applyAlignment="1">
      <alignment horizontal="center"/>
    </xf>
    <xf numFmtId="0" fontId="14" fillId="0" borderId="0" xfId="4" applyFont="1" applyAlignment="1">
      <alignment horizontal="left"/>
    </xf>
    <xf numFmtId="0" fontId="14" fillId="0" borderId="0" xfId="0" applyFont="1" applyAlignment="1">
      <alignment horizontal="left"/>
    </xf>
    <xf numFmtId="0" fontId="14" fillId="0" borderId="2" xfId="4" applyFont="1" applyBorder="1" applyAlignment="1">
      <alignment horizontal="center"/>
    </xf>
    <xf numFmtId="0" fontId="14" fillId="0" borderId="3" xfId="4" applyFont="1" applyBorder="1" applyAlignment="1"/>
    <xf numFmtId="165" fontId="14" fillId="0" borderId="6" xfId="5" applyFont="1" applyFill="1" applyBorder="1" applyAlignment="1">
      <alignment horizontal="center"/>
    </xf>
    <xf numFmtId="0" fontId="14" fillId="0" borderId="7" xfId="4" applyFont="1" applyBorder="1" applyAlignment="1">
      <alignment horizontal="center"/>
    </xf>
    <xf numFmtId="0" fontId="14" fillId="0" borderId="0" xfId="4" applyFont="1" applyAlignment="1">
      <alignment horizontal="centerContinuous"/>
    </xf>
    <xf numFmtId="165" fontId="14" fillId="0" borderId="10" xfId="5" applyFont="1" applyFill="1" applyBorder="1" applyAlignment="1">
      <alignment horizontal="center"/>
    </xf>
    <xf numFmtId="0" fontId="14" fillId="0" borderId="11" xfId="4" applyFont="1" applyBorder="1" applyAlignment="1">
      <alignment horizontal="center"/>
    </xf>
    <xf numFmtId="0" fontId="14" fillId="0" borderId="1" xfId="4" applyFont="1" applyBorder="1" applyAlignment="1"/>
    <xf numFmtId="165" fontId="14" fillId="0" borderId="14" xfId="5" applyFont="1" applyFill="1" applyBorder="1" applyAlignment="1">
      <alignment horizontal="center"/>
    </xf>
    <xf numFmtId="0" fontId="12" fillId="0" borderId="7" xfId="4" applyFont="1" applyBorder="1" applyAlignment="1">
      <alignment horizontal="center"/>
    </xf>
    <xf numFmtId="0" fontId="12" fillId="0" borderId="0" xfId="4" applyFont="1" applyAlignment="1"/>
    <xf numFmtId="165" fontId="12" fillId="0" borderId="10" xfId="5" applyFont="1" applyFill="1" applyBorder="1" applyAlignment="1"/>
    <xf numFmtId="0" fontId="14" fillId="0" borderId="0" xfId="4" applyFont="1" applyAlignment="1"/>
    <xf numFmtId="165" fontId="14" fillId="0" borderId="10" xfId="5" applyFont="1" applyFill="1" applyBorder="1" applyAlignment="1"/>
    <xf numFmtId="166" fontId="12" fillId="0" borderId="0" xfId="1" applyNumberFormat="1" applyFont="1" applyFill="1" applyAlignment="1"/>
    <xf numFmtId="0" fontId="12" fillId="0" borderId="7" xfId="6" applyNumberFormat="1" applyFont="1" applyFill="1" applyBorder="1" applyAlignment="1">
      <alignment horizontal="center" vertical="center"/>
    </xf>
    <xf numFmtId="0" fontId="12" fillId="0" borderId="0" xfId="7" applyFont="1" applyAlignment="1">
      <alignment horizontal="left" vertical="center"/>
    </xf>
    <xf numFmtId="0" fontId="12" fillId="0" borderId="7" xfId="7" applyFont="1" applyBorder="1" applyAlignment="1">
      <alignment horizontal="center"/>
    </xf>
    <xf numFmtId="0" fontId="12" fillId="0" borderId="0" xfId="7" applyFont="1" applyAlignment="1">
      <alignment vertical="top"/>
    </xf>
    <xf numFmtId="166" fontId="14" fillId="0" borderId="10" xfId="5" applyNumberFormat="1" applyFont="1" applyFill="1" applyBorder="1" applyAlignment="1"/>
    <xf numFmtId="166" fontId="12" fillId="0" borderId="10" xfId="5" applyNumberFormat="1" applyFont="1" applyFill="1" applyBorder="1" applyAlignment="1">
      <alignment horizontal="left" vertical="center"/>
    </xf>
    <xf numFmtId="0" fontId="12" fillId="0" borderId="0" xfId="7" applyFont="1">
      <alignment vertical="center"/>
    </xf>
    <xf numFmtId="0" fontId="15" fillId="0" borderId="8" xfId="0" applyFont="1" applyBorder="1"/>
    <xf numFmtId="0" fontId="12" fillId="0" borderId="17" xfId="4" applyFont="1" applyBorder="1" applyAlignment="1">
      <alignment horizontal="center"/>
    </xf>
    <xf numFmtId="0" fontId="12" fillId="0" borderId="18" xfId="4" applyFont="1" applyBorder="1" applyAlignment="1"/>
    <xf numFmtId="166" fontId="14" fillId="0" borderId="21" xfId="3" applyNumberFormat="1" applyFont="1" applyBorder="1" applyAlignment="1"/>
    <xf numFmtId="0" fontId="12" fillId="0" borderId="24" xfId="4" applyFont="1" applyBorder="1" applyAlignment="1">
      <alignment horizontal="center"/>
    </xf>
    <xf numFmtId="0" fontId="12" fillId="0" borderId="25" xfId="4" applyFont="1" applyBorder="1" applyAlignment="1"/>
    <xf numFmtId="0" fontId="14" fillId="0" borderId="25" xfId="4" applyFont="1" applyBorder="1" applyAlignment="1"/>
    <xf numFmtId="166" fontId="14" fillId="0" borderId="26" xfId="5" applyNumberFormat="1" applyFont="1" applyFill="1" applyBorder="1" applyAlignment="1"/>
    <xf numFmtId="0" fontId="12" fillId="0" borderId="27" xfId="4" applyFont="1" applyBorder="1" applyAlignment="1">
      <alignment horizontal="center"/>
    </xf>
    <xf numFmtId="0" fontId="12" fillId="0" borderId="3" xfId="4" applyFont="1" applyBorder="1" applyAlignment="1"/>
    <xf numFmtId="165" fontId="12" fillId="0" borderId="28" xfId="5" applyFont="1" applyFill="1" applyBorder="1" applyAlignment="1"/>
    <xf numFmtId="0" fontId="12" fillId="0" borderId="29" xfId="4" applyFont="1" applyBorder="1" applyAlignment="1">
      <alignment horizontal="center"/>
    </xf>
    <xf numFmtId="165" fontId="14" fillId="0" borderId="16" xfId="5" applyFont="1" applyFill="1" applyBorder="1" applyAlignment="1"/>
    <xf numFmtId="0" fontId="14" fillId="0" borderId="29" xfId="4" applyFont="1" applyBorder="1" applyAlignment="1">
      <alignment horizontal="left"/>
    </xf>
    <xf numFmtId="0" fontId="12" fillId="0" borderId="16" xfId="3" applyFont="1" applyBorder="1" applyAlignment="1"/>
    <xf numFmtId="166" fontId="14" fillId="0" borderId="16" xfId="1" applyNumberFormat="1" applyFont="1" applyBorder="1" applyAlignment="1"/>
    <xf numFmtId="0" fontId="14" fillId="0" borderId="30" xfId="4" applyFont="1" applyBorder="1" applyAlignment="1">
      <alignment horizontal="left"/>
    </xf>
    <xf numFmtId="0" fontId="12" fillId="0" borderId="1" xfId="3" applyFont="1" applyBorder="1" applyAlignment="1"/>
    <xf numFmtId="0" fontId="12" fillId="0" borderId="31" xfId="3" applyFont="1" applyBorder="1" applyAlignment="1"/>
    <xf numFmtId="0" fontId="6" fillId="0" borderId="0" xfId="0" applyFont="1"/>
    <xf numFmtId="166" fontId="6" fillId="0" borderId="0" xfId="1" applyNumberFormat="1" applyFont="1" applyFill="1"/>
    <xf numFmtId="0" fontId="16" fillId="0" borderId="0" xfId="0" applyFont="1"/>
    <xf numFmtId="0" fontId="6" fillId="2" borderId="32" xfId="0" applyFont="1" applyFill="1" applyBorder="1"/>
    <xf numFmtId="0" fontId="6" fillId="2" borderId="33" xfId="0" applyFont="1" applyFill="1" applyBorder="1"/>
    <xf numFmtId="0" fontId="6" fillId="2" borderId="34" xfId="0" applyFont="1" applyFill="1" applyBorder="1"/>
    <xf numFmtId="166" fontId="6" fillId="2" borderId="33" xfId="1" applyNumberFormat="1" applyFont="1" applyFill="1" applyBorder="1"/>
    <xf numFmtId="0" fontId="8" fillId="2" borderId="35" xfId="0" applyFont="1" applyFill="1" applyBorder="1" applyAlignment="1">
      <alignment horizontal="center"/>
    </xf>
    <xf numFmtId="166" fontId="8" fillId="2" borderId="0" xfId="1" applyNumberFormat="1" applyFont="1" applyFill="1" applyBorder="1" applyAlignment="1">
      <alignment horizontal="center"/>
    </xf>
    <xf numFmtId="0" fontId="6" fillId="2" borderId="36" xfId="0" applyFont="1" applyFill="1" applyBorder="1"/>
    <xf numFmtId="0" fontId="8" fillId="2" borderId="37" xfId="0" applyFont="1" applyFill="1" applyBorder="1" applyAlignment="1">
      <alignment horizontal="center"/>
    </xf>
    <xf numFmtId="0" fontId="8" fillId="2" borderId="18" xfId="0" applyFont="1" applyFill="1" applyBorder="1" applyAlignment="1">
      <alignment horizontal="center"/>
    </xf>
    <xf numFmtId="0" fontId="8" fillId="2" borderId="38" xfId="0" applyFont="1" applyFill="1" applyBorder="1" applyAlignment="1">
      <alignment horizontal="center"/>
    </xf>
    <xf numFmtId="166" fontId="8" fillId="2" borderId="18" xfId="1" quotePrefix="1" applyNumberFormat="1" applyFont="1" applyFill="1" applyBorder="1" applyAlignment="1">
      <alignment horizontal="center"/>
    </xf>
    <xf numFmtId="0" fontId="6" fillId="2" borderId="38" xfId="0" applyFont="1" applyFill="1" applyBorder="1"/>
    <xf numFmtId="0" fontId="6" fillId="0" borderId="35" xfId="0" applyFont="1" applyBorder="1" applyAlignment="1">
      <alignment horizontal="center"/>
    </xf>
    <xf numFmtId="0" fontId="6" fillId="0" borderId="35" xfId="0" applyFont="1" applyBorder="1"/>
    <xf numFmtId="0" fontId="6" fillId="0" borderId="36" xfId="0" applyFont="1" applyBorder="1"/>
    <xf numFmtId="166" fontId="6" fillId="0" borderId="0" xfId="1" applyNumberFormat="1" applyFont="1" applyBorder="1"/>
    <xf numFmtId="0" fontId="8" fillId="3" borderId="35" xfId="0" applyFont="1" applyFill="1" applyBorder="1" applyAlignment="1">
      <alignment horizontal="center"/>
    </xf>
    <xf numFmtId="0" fontId="8" fillId="3" borderId="35" xfId="0" applyFont="1" applyFill="1" applyBorder="1" applyAlignment="1">
      <alignment horizontal="left" indent="1"/>
    </xf>
    <xf numFmtId="0" fontId="8" fillId="3" borderId="0" xfId="0" applyFont="1" applyFill="1"/>
    <xf numFmtId="0" fontId="8" fillId="3" borderId="36" xfId="0" applyFont="1" applyFill="1" applyBorder="1"/>
    <xf numFmtId="10" fontId="6" fillId="0" borderId="0" xfId="2" applyNumberFormat="1" applyFont="1"/>
    <xf numFmtId="0" fontId="6" fillId="0" borderId="35" xfId="0" applyFont="1" applyBorder="1" applyAlignment="1">
      <alignment horizontal="left" indent="1"/>
    </xf>
    <xf numFmtId="166" fontId="6" fillId="0" borderId="0" xfId="1" applyNumberFormat="1" applyFont="1" applyFill="1" applyBorder="1"/>
    <xf numFmtId="0" fontId="6" fillId="0" borderId="37" xfId="0" applyFont="1" applyBorder="1" applyAlignment="1">
      <alignment horizontal="center"/>
    </xf>
    <xf numFmtId="0" fontId="6" fillId="0" borderId="37" xfId="0" applyFont="1" applyBorder="1" applyAlignment="1">
      <alignment horizontal="left" indent="1"/>
    </xf>
    <xf numFmtId="0" fontId="6" fillId="0" borderId="18" xfId="0" applyFont="1" applyBorder="1"/>
    <xf numFmtId="0" fontId="6" fillId="0" borderId="38" xfId="0" applyFont="1" applyBorder="1"/>
    <xf numFmtId="166" fontId="6" fillId="0" borderId="18" xfId="1" applyNumberFormat="1" applyFont="1" applyBorder="1"/>
    <xf numFmtId="0" fontId="6" fillId="0" borderId="22" xfId="0" applyFont="1" applyBorder="1"/>
    <xf numFmtId="0" fontId="6" fillId="0" borderId="23" xfId="0" applyFont="1" applyBorder="1"/>
    <xf numFmtId="0" fontId="8" fillId="0" borderId="23" xfId="0" applyFont="1" applyBorder="1" applyAlignment="1">
      <alignment horizontal="right"/>
    </xf>
    <xf numFmtId="166" fontId="8" fillId="0" borderId="22" xfId="1" applyNumberFormat="1" applyFont="1" applyBorder="1"/>
    <xf numFmtId="0" fontId="6" fillId="0" borderId="39" xfId="0" applyFont="1" applyBorder="1"/>
    <xf numFmtId="0" fontId="17" fillId="0" borderId="0" xfId="0" applyFont="1" applyAlignment="1">
      <alignment horizontal="left"/>
    </xf>
    <xf numFmtId="166" fontId="6" fillId="0" borderId="0" xfId="1" applyNumberFormat="1" applyFont="1"/>
    <xf numFmtId="0" fontId="6" fillId="0" borderId="0" xfId="0" applyFont="1" applyAlignment="1">
      <alignment horizontal="center"/>
    </xf>
    <xf numFmtId="0" fontId="18" fillId="0" borderId="0" xfId="10"/>
    <xf numFmtId="0" fontId="12" fillId="0" borderId="0" xfId="10" applyFont="1" applyAlignment="1">
      <alignment horizontal="center" vertical="center"/>
    </xf>
    <xf numFmtId="165" fontId="0" fillId="0" borderId="0" xfId="11" applyFont="1"/>
    <xf numFmtId="43" fontId="0" fillId="0" borderId="0" xfId="12" applyNumberFormat="1" applyFont="1"/>
    <xf numFmtId="0" fontId="6" fillId="0" borderId="0" xfId="10" applyFont="1"/>
    <xf numFmtId="165" fontId="6" fillId="0" borderId="0" xfId="11" applyFont="1" applyFill="1"/>
    <xf numFmtId="43" fontId="12" fillId="0" borderId="0" xfId="12" applyNumberFormat="1" applyFont="1"/>
    <xf numFmtId="165" fontId="20" fillId="2" borderId="40" xfId="11" applyFont="1" applyFill="1" applyBorder="1" applyAlignment="1">
      <alignment horizontal="center" vertical="center" wrapText="1"/>
    </xf>
    <xf numFmtId="165" fontId="20" fillId="2" borderId="40" xfId="11" applyFont="1" applyFill="1" applyBorder="1" applyAlignment="1">
      <alignment horizontal="center" vertical="center"/>
    </xf>
    <xf numFmtId="0" fontId="20" fillId="4" borderId="40" xfId="10" applyFont="1" applyFill="1" applyBorder="1" applyAlignment="1">
      <alignment horizontal="center" vertical="center"/>
    </xf>
    <xf numFmtId="0" fontId="20" fillId="4" borderId="40" xfId="10" applyFont="1" applyFill="1" applyBorder="1" applyAlignment="1">
      <alignment horizontal="left"/>
    </xf>
    <xf numFmtId="165" fontId="20" fillId="4" borderId="40" xfId="11" applyFont="1" applyFill="1" applyBorder="1" applyAlignment="1">
      <alignment horizontal="center"/>
    </xf>
    <xf numFmtId="43" fontId="20" fillId="4" borderId="40" xfId="12" applyNumberFormat="1" applyFont="1" applyFill="1" applyBorder="1"/>
    <xf numFmtId="0" fontId="20" fillId="4" borderId="40" xfId="10" applyFont="1" applyFill="1" applyBorder="1"/>
    <xf numFmtId="0" fontId="2" fillId="0" borderId="0" xfId="10" applyFont="1"/>
    <xf numFmtId="0" fontId="2" fillId="0" borderId="0" xfId="10" applyFont="1" applyAlignment="1">
      <alignment horizontal="center"/>
    </xf>
    <xf numFmtId="0" fontId="23" fillId="0" borderId="40" xfId="10" applyFont="1" applyBorder="1" applyAlignment="1">
      <alignment horizontal="center" vertical="center"/>
    </xf>
    <xf numFmtId="0" fontId="23" fillId="0" borderId="40" xfId="10" applyFont="1" applyBorder="1"/>
    <xf numFmtId="165" fontId="23" fillId="0" borderId="40" xfId="11" applyFont="1" applyBorder="1"/>
    <xf numFmtId="43" fontId="23" fillId="0" borderId="40" xfId="12" applyNumberFormat="1" applyFont="1" applyBorder="1" applyAlignment="1">
      <alignment horizontal="right"/>
    </xf>
    <xf numFmtId="0" fontId="18" fillId="0" borderId="0" xfId="10" applyAlignment="1">
      <alignment horizontal="center"/>
    </xf>
    <xf numFmtId="0" fontId="18" fillId="0" borderId="0" xfId="10" applyAlignment="1">
      <alignment horizontal="left"/>
    </xf>
    <xf numFmtId="0" fontId="23" fillId="0" borderId="0" xfId="10" applyFont="1" applyAlignment="1">
      <alignment horizontal="right"/>
    </xf>
    <xf numFmtId="0" fontId="23" fillId="5" borderId="40" xfId="10" applyFont="1" applyFill="1" applyBorder="1" applyAlignment="1">
      <alignment horizontal="center" vertical="center"/>
    </xf>
    <xf numFmtId="0" fontId="24" fillId="5" borderId="40" xfId="10" applyFont="1" applyFill="1" applyBorder="1"/>
    <xf numFmtId="165" fontId="25" fillId="5" borderId="40" xfId="11" applyFont="1" applyFill="1" applyBorder="1"/>
    <xf numFmtId="43" fontId="24" fillId="5" borderId="40" xfId="12" applyNumberFormat="1" applyFont="1" applyFill="1" applyBorder="1" applyAlignment="1">
      <alignment horizontal="right"/>
    </xf>
    <xf numFmtId="43" fontId="23" fillId="0" borderId="40" xfId="12" applyNumberFormat="1" applyFont="1" applyFill="1" applyBorder="1" applyAlignment="1">
      <alignment horizontal="right"/>
    </xf>
    <xf numFmtId="43" fontId="20" fillId="5" borderId="40" xfId="12" applyNumberFormat="1" applyFont="1" applyFill="1" applyBorder="1" applyAlignment="1">
      <alignment horizontal="right"/>
    </xf>
    <xf numFmtId="43" fontId="23" fillId="0" borderId="40" xfId="12" applyNumberFormat="1" applyFont="1" applyFill="1" applyBorder="1" applyAlignment="1">
      <alignment horizontal="right" vertical="center"/>
    </xf>
    <xf numFmtId="165" fontId="23" fillId="0" borderId="40" xfId="11" applyFont="1" applyFill="1" applyBorder="1"/>
    <xf numFmtId="0" fontId="18" fillId="6" borderId="0" xfId="10" applyFill="1" applyAlignment="1">
      <alignment horizontal="center"/>
    </xf>
    <xf numFmtId="0" fontId="18" fillId="6" borderId="0" xfId="10" applyFill="1"/>
    <xf numFmtId="0" fontId="23" fillId="0" borderId="40" xfId="10" applyFont="1" applyBorder="1" applyAlignment="1">
      <alignment horizontal="left"/>
    </xf>
    <xf numFmtId="0" fontId="23" fillId="0" borderId="40" xfId="10" applyFont="1" applyBorder="1" applyAlignment="1">
      <alignment horizontal="center"/>
    </xf>
    <xf numFmtId="0" fontId="20" fillId="5" borderId="45" xfId="10" applyFont="1" applyFill="1" applyBorder="1" applyAlignment="1">
      <alignment horizontal="center" vertical="center"/>
    </xf>
    <xf numFmtId="0" fontId="20" fillId="5" borderId="45" xfId="10" applyFont="1" applyFill="1" applyBorder="1"/>
    <xf numFmtId="165" fontId="20" fillId="5" borderId="45" xfId="11" applyFont="1" applyFill="1" applyBorder="1"/>
    <xf numFmtId="43" fontId="20" fillId="5" borderId="45" xfId="12" applyNumberFormat="1" applyFont="1" applyFill="1" applyBorder="1" applyAlignment="1">
      <alignment horizontal="right"/>
    </xf>
    <xf numFmtId="0" fontId="20" fillId="5" borderId="45" xfId="10" applyFont="1" applyFill="1" applyBorder="1" applyAlignment="1">
      <alignment horizontal="right"/>
    </xf>
    <xf numFmtId="165" fontId="23" fillId="4" borderId="40" xfId="11" applyFont="1" applyFill="1" applyBorder="1"/>
    <xf numFmtId="43" fontId="23" fillId="4" borderId="40" xfId="12" applyNumberFormat="1" applyFont="1" applyFill="1" applyBorder="1"/>
    <xf numFmtId="0" fontId="23" fillId="4" borderId="40" xfId="10" applyFont="1" applyFill="1" applyBorder="1"/>
    <xf numFmtId="43" fontId="23" fillId="0" borderId="40" xfId="12" applyNumberFormat="1" applyFont="1" applyBorder="1" applyAlignment="1">
      <alignment horizontal="center"/>
    </xf>
    <xf numFmtId="43" fontId="23" fillId="0" borderId="40" xfId="12" applyNumberFormat="1" applyFont="1" applyBorder="1"/>
    <xf numFmtId="0" fontId="23" fillId="0" borderId="40" xfId="10" applyFont="1" applyBorder="1" applyAlignment="1">
      <alignment horizontal="right"/>
    </xf>
    <xf numFmtId="43" fontId="18" fillId="0" borderId="40" xfId="10" applyNumberFormat="1" applyBorder="1"/>
    <xf numFmtId="0" fontId="18" fillId="0" borderId="40" xfId="10" applyBorder="1" applyAlignment="1">
      <alignment horizontal="center" vertical="center"/>
    </xf>
    <xf numFmtId="0" fontId="20" fillId="0" borderId="44" xfId="10" applyFont="1" applyBorder="1" applyAlignment="1">
      <alignment horizontal="center" vertical="center"/>
    </xf>
    <xf numFmtId="0" fontId="20" fillId="0" borderId="44" xfId="10" applyFont="1" applyBorder="1"/>
    <xf numFmtId="165" fontId="20" fillId="0" borderId="44" xfId="11" applyFont="1" applyFill="1" applyBorder="1"/>
    <xf numFmtId="43" fontId="20" fillId="0" borderId="44" xfId="12" applyNumberFormat="1" applyFont="1" applyFill="1" applyBorder="1" applyAlignment="1">
      <alignment horizontal="right"/>
    </xf>
    <xf numFmtId="0" fontId="20" fillId="0" borderId="44" xfId="10" applyFont="1" applyBorder="1" applyAlignment="1">
      <alignment horizontal="right"/>
    </xf>
    <xf numFmtId="0" fontId="20" fillId="5" borderId="5" xfId="10" applyFont="1" applyFill="1" applyBorder="1" applyAlignment="1">
      <alignment horizontal="center" vertical="center"/>
    </xf>
    <xf numFmtId="0" fontId="20" fillId="5" borderId="5" xfId="10" applyFont="1" applyFill="1" applyBorder="1"/>
    <xf numFmtId="165" fontId="20" fillId="5" borderId="5" xfId="11" applyFont="1" applyFill="1" applyBorder="1"/>
    <xf numFmtId="43" fontId="20" fillId="5" borderId="5" xfId="12" applyNumberFormat="1" applyFont="1" applyFill="1" applyBorder="1" applyAlignment="1">
      <alignment horizontal="right"/>
    </xf>
    <xf numFmtId="0" fontId="20" fillId="5" borderId="5" xfId="10" applyFont="1" applyFill="1" applyBorder="1" applyAlignment="1">
      <alignment horizontal="right"/>
    </xf>
    <xf numFmtId="0" fontId="20" fillId="2" borderId="45" xfId="10" applyFont="1" applyFill="1" applyBorder="1" applyAlignment="1">
      <alignment horizontal="center" vertical="center"/>
    </xf>
    <xf numFmtId="0" fontId="20" fillId="2" borderId="46" xfId="10" applyFont="1" applyFill="1" applyBorder="1" applyAlignment="1">
      <alignment horizontal="left"/>
    </xf>
    <xf numFmtId="165" fontId="23" fillId="2" borderId="45" xfId="11" applyFont="1" applyFill="1" applyBorder="1" applyAlignment="1">
      <alignment horizontal="center" vertical="center"/>
    </xf>
    <xf numFmtId="43" fontId="20" fillId="2" borderId="45" xfId="12" applyNumberFormat="1" applyFont="1" applyFill="1" applyBorder="1" applyAlignment="1">
      <alignment horizontal="center" vertical="center"/>
    </xf>
    <xf numFmtId="0" fontId="23" fillId="2" borderId="45" xfId="10" applyFont="1" applyFill="1" applyBorder="1" applyAlignment="1">
      <alignment horizontal="center" vertical="center"/>
    </xf>
    <xf numFmtId="0" fontId="19" fillId="0" borderId="0" xfId="10" applyFont="1" applyAlignment="1">
      <alignment horizontal="center"/>
    </xf>
    <xf numFmtId="0" fontId="2" fillId="0" borderId="0" xfId="10" applyFont="1" applyAlignment="1">
      <alignment horizontal="center" vertical="center"/>
    </xf>
    <xf numFmtId="0" fontId="26" fillId="0" borderId="0" xfId="10" applyFont="1"/>
    <xf numFmtId="0" fontId="27" fillId="0" borderId="0" xfId="10" applyFont="1"/>
    <xf numFmtId="0" fontId="20" fillId="0" borderId="40" xfId="10" applyFont="1" applyBorder="1" applyAlignment="1">
      <alignment horizontal="right"/>
    </xf>
    <xf numFmtId="0" fontId="20" fillId="0" borderId="9" xfId="10" applyFont="1" applyBorder="1" applyAlignment="1">
      <alignment horizontal="right"/>
    </xf>
    <xf numFmtId="0" fontId="20" fillId="0" borderId="0" xfId="10" applyFont="1" applyAlignment="1">
      <alignment horizontal="right"/>
    </xf>
    <xf numFmtId="0" fontId="20" fillId="0" borderId="40" xfId="10" applyFont="1" applyBorder="1"/>
    <xf numFmtId="43" fontId="20" fillId="0" borderId="40" xfId="12" applyNumberFormat="1" applyFont="1" applyFill="1" applyBorder="1" applyAlignment="1">
      <alignment horizontal="right"/>
    </xf>
    <xf numFmtId="43" fontId="20" fillId="5" borderId="40" xfId="12" applyNumberFormat="1" applyFont="1" applyFill="1" applyBorder="1"/>
    <xf numFmtId="0" fontId="18" fillId="0" borderId="40" xfId="10" applyBorder="1"/>
    <xf numFmtId="0" fontId="23" fillId="0" borderId="43" xfId="10" applyFont="1" applyBorder="1" applyAlignment="1">
      <alignment horizontal="center" vertical="center"/>
    </xf>
    <xf numFmtId="0" fontId="23" fillId="0" borderId="44" xfId="10" applyFont="1" applyBorder="1"/>
    <xf numFmtId="165" fontId="23" fillId="0" borderId="40" xfId="11" quotePrefix="1" applyFont="1" applyFill="1" applyBorder="1" applyAlignment="1">
      <alignment horizontal="right"/>
    </xf>
    <xf numFmtId="43" fontId="23" fillId="0" borderId="0" xfId="12" applyNumberFormat="1" applyFont="1" applyFill="1" applyBorder="1" applyAlignment="1">
      <alignment horizontal="center" vertical="center" wrapText="1"/>
    </xf>
    <xf numFmtId="0" fontId="23" fillId="0" borderId="9" xfId="10" applyFont="1" applyBorder="1" applyAlignment="1">
      <alignment horizontal="center" vertical="center"/>
    </xf>
    <xf numFmtId="167" fontId="23" fillId="0" borderId="0" xfId="12" applyNumberFormat="1" applyFont="1" applyFill="1" applyBorder="1" applyAlignment="1">
      <alignment horizontal="center" vertical="center" wrapText="1"/>
    </xf>
    <xf numFmtId="0" fontId="23" fillId="0" borderId="44" xfId="10" applyFont="1" applyBorder="1" applyAlignment="1">
      <alignment horizontal="center" vertical="center"/>
    </xf>
    <xf numFmtId="43" fontId="23" fillId="0" borderId="40" xfId="12" applyNumberFormat="1" applyFont="1" applyFill="1" applyBorder="1" applyAlignment="1">
      <alignment horizontal="center" vertical="center"/>
    </xf>
    <xf numFmtId="164" fontId="23" fillId="0" borderId="0" xfId="12" applyFont="1" applyFill="1" applyBorder="1" applyAlignment="1">
      <alignment horizontal="center" vertical="center"/>
    </xf>
    <xf numFmtId="0" fontId="23" fillId="0" borderId="47" xfId="10" applyFont="1" applyBorder="1" applyAlignment="1">
      <alignment horizontal="center" vertical="center"/>
    </xf>
    <xf numFmtId="43" fontId="23" fillId="0" borderId="40" xfId="12" applyNumberFormat="1" applyFont="1" applyFill="1" applyBorder="1" applyAlignment="1">
      <alignment vertical="center"/>
    </xf>
    <xf numFmtId="164" fontId="23" fillId="0" borderId="0" xfId="12" applyFont="1" applyFill="1" applyBorder="1" applyAlignment="1">
      <alignment vertical="center"/>
    </xf>
    <xf numFmtId="0" fontId="18" fillId="6" borderId="0" xfId="10" applyFill="1" applyAlignment="1">
      <alignment horizontal="left"/>
    </xf>
    <xf numFmtId="164" fontId="20" fillId="5" borderId="0" xfId="12" applyFont="1" applyFill="1" applyBorder="1" applyAlignment="1">
      <alignment horizontal="right"/>
    </xf>
    <xf numFmtId="0" fontId="23" fillId="0" borderId="0" xfId="10" applyFont="1"/>
    <xf numFmtId="0" fontId="23" fillId="4" borderId="0" xfId="10" applyFont="1" applyFill="1"/>
    <xf numFmtId="0" fontId="23" fillId="0" borderId="0" xfId="10" applyFont="1" applyAlignment="1">
      <alignment horizontal="center"/>
    </xf>
    <xf numFmtId="43" fontId="18" fillId="0" borderId="0" xfId="10" applyNumberFormat="1"/>
    <xf numFmtId="165" fontId="18" fillId="0" borderId="0" xfId="10" applyNumberFormat="1" applyAlignment="1">
      <alignment horizontal="center"/>
    </xf>
    <xf numFmtId="0" fontId="20" fillId="5" borderId="0" xfId="10" applyFont="1" applyFill="1" applyAlignment="1">
      <alignment horizontal="right"/>
    </xf>
    <xf numFmtId="0" fontId="23" fillId="2" borderId="0" xfId="10" applyFont="1" applyFill="1" applyAlignment="1">
      <alignment horizontal="center" vertical="center"/>
    </xf>
    <xf numFmtId="0" fontId="18" fillId="0" borderId="0" xfId="10" applyAlignment="1">
      <alignment horizontal="center" vertical="center"/>
    </xf>
    <xf numFmtId="0" fontId="29" fillId="0" borderId="0" xfId="3" applyFont="1" applyAlignment="1"/>
    <xf numFmtId="169" fontId="0" fillId="0" borderId="0" xfId="13" applyNumberFormat="1" applyFont="1" applyAlignment="1"/>
    <xf numFmtId="0" fontId="29" fillId="0" borderId="0" xfId="3" applyFont="1" applyAlignment="1">
      <alignment horizontal="center"/>
    </xf>
    <xf numFmtId="169" fontId="29" fillId="0" borderId="0" xfId="13" applyNumberFormat="1" applyFont="1" applyAlignment="1"/>
    <xf numFmtId="0" fontId="3" fillId="0" borderId="0" xfId="3" applyAlignment="1"/>
    <xf numFmtId="169" fontId="30" fillId="0" borderId="0" xfId="13" applyNumberFormat="1" applyFont="1" applyAlignment="1"/>
    <xf numFmtId="169" fontId="29" fillId="0" borderId="0" xfId="13" applyNumberFormat="1" applyFont="1" applyAlignment="1">
      <alignment vertical="top"/>
    </xf>
    <xf numFmtId="169" fontId="31" fillId="0" borderId="0" xfId="13" applyNumberFormat="1" applyFont="1" applyAlignment="1"/>
    <xf numFmtId="169" fontId="0" fillId="0" borderId="0" xfId="13" applyNumberFormat="1" applyFont="1" applyAlignment="1">
      <alignment horizontal="center"/>
    </xf>
    <xf numFmtId="169" fontId="0" fillId="0" borderId="0" xfId="13" applyNumberFormat="1" applyFont="1" applyAlignment="1">
      <alignment horizontal="right"/>
    </xf>
    <xf numFmtId="49" fontId="0" fillId="0" borderId="0" xfId="13" applyNumberFormat="1" applyFont="1" applyAlignment="1"/>
    <xf numFmtId="169" fontId="0" fillId="7" borderId="0" xfId="13" applyNumberFormat="1" applyFont="1" applyFill="1" applyAlignment="1"/>
    <xf numFmtId="169" fontId="32" fillId="7" borderId="0" xfId="13" applyNumberFormat="1" applyFont="1" applyFill="1" applyAlignment="1"/>
    <xf numFmtId="169" fontId="32" fillId="0" borderId="0" xfId="13" applyNumberFormat="1" applyFont="1" applyAlignment="1"/>
    <xf numFmtId="0" fontId="8" fillId="0" borderId="0" xfId="3" applyFont="1" applyAlignment="1"/>
    <xf numFmtId="0" fontId="6" fillId="0" borderId="0" xfId="3" applyFont="1" applyAlignment="1"/>
    <xf numFmtId="0" fontId="6" fillId="7" borderId="0" xfId="3" applyFont="1" applyFill="1" applyAlignment="1">
      <alignment horizontal="left"/>
    </xf>
    <xf numFmtId="164" fontId="6" fillId="0" borderId="0" xfId="13" applyNumberFormat="1" applyFont="1" applyBorder="1" applyAlignment="1"/>
    <xf numFmtId="0" fontId="33" fillId="0" borderId="0" xfId="14" applyAlignment="1"/>
    <xf numFmtId="49" fontId="0" fillId="0" borderId="0" xfId="13" quotePrefix="1" applyNumberFormat="1" applyFont="1" applyAlignment="1"/>
    <xf numFmtId="0" fontId="8" fillId="0" borderId="0" xfId="3" applyFont="1" applyAlignment="1">
      <alignment horizontal="center" vertical="center" wrapText="1"/>
    </xf>
    <xf numFmtId="0" fontId="8" fillId="7" borderId="0" xfId="3" applyFont="1" applyFill="1" applyAlignment="1">
      <alignment horizontal="center" vertical="center" wrapText="1"/>
    </xf>
    <xf numFmtId="164" fontId="8" fillId="0" borderId="0" xfId="13" applyNumberFormat="1" applyFont="1" applyBorder="1" applyAlignment="1">
      <alignment horizontal="center" vertical="center" wrapText="1"/>
    </xf>
    <xf numFmtId="164" fontId="0" fillId="0" borderId="0" xfId="13" quotePrefix="1" applyNumberFormat="1" applyFont="1" applyAlignment="1">
      <alignment horizontal="right"/>
    </xf>
    <xf numFmtId="0" fontId="6" fillId="0" borderId="0" xfId="3" applyFont="1" applyAlignment="1">
      <alignment horizontal="center"/>
    </xf>
    <xf numFmtId="0" fontId="6" fillId="7" borderId="0" xfId="3" applyFont="1" applyFill="1" applyAlignment="1">
      <alignment horizontal="center"/>
    </xf>
    <xf numFmtId="170" fontId="6" fillId="0" borderId="0" xfId="13" applyNumberFormat="1" applyFont="1" applyBorder="1" applyAlignment="1"/>
    <xf numFmtId="164" fontId="6" fillId="0" borderId="0" xfId="3" applyNumberFormat="1" applyFont="1" applyAlignment="1">
      <alignment horizontal="center"/>
    </xf>
    <xf numFmtId="170" fontId="6" fillId="0" borderId="0" xfId="3" applyNumberFormat="1" applyFont="1" applyAlignment="1">
      <alignment horizontal="right"/>
    </xf>
    <xf numFmtId="169" fontId="0" fillId="7" borderId="0" xfId="13" applyNumberFormat="1" applyFont="1" applyFill="1" applyBorder="1" applyAlignment="1"/>
    <xf numFmtId="164" fontId="12" fillId="0" borderId="0" xfId="13" applyNumberFormat="1" applyFont="1" applyBorder="1" applyAlignment="1"/>
    <xf numFmtId="170" fontId="6" fillId="0" borderId="0" xfId="3" applyNumberFormat="1" applyFont="1" applyAlignment="1"/>
    <xf numFmtId="164" fontId="0" fillId="0" borderId="0" xfId="13" applyNumberFormat="1" applyFont="1" applyAlignment="1">
      <alignment horizontal="right"/>
    </xf>
    <xf numFmtId="0" fontId="34" fillId="0" borderId="0" xfId="3" applyFont="1">
      <alignment vertical="center"/>
    </xf>
    <xf numFmtId="0" fontId="34" fillId="0" borderId="48" xfId="3" applyFont="1" applyBorder="1">
      <alignment vertical="center"/>
    </xf>
    <xf numFmtId="0" fontId="8" fillId="8" borderId="49" xfId="3" applyFont="1" applyFill="1" applyBorder="1" applyAlignment="1"/>
    <xf numFmtId="165" fontId="6" fillId="0" borderId="49" xfId="15" applyFont="1" applyFill="1" applyBorder="1" applyAlignment="1"/>
    <xf numFmtId="0" fontId="6" fillId="0" borderId="49" xfId="3" applyFont="1" applyBorder="1" applyAlignment="1">
      <alignment horizontal="center"/>
    </xf>
    <xf numFmtId="166" fontId="36" fillId="0" borderId="49" xfId="15" applyNumberFormat="1" applyFont="1" applyFill="1" applyBorder="1" applyAlignment="1"/>
    <xf numFmtId="166" fontId="17" fillId="0" borderId="49" xfId="15" applyNumberFormat="1" applyFont="1" applyFill="1" applyBorder="1" applyAlignment="1"/>
    <xf numFmtId="166" fontId="4" fillId="0" borderId="8" xfId="15" applyNumberFormat="1" applyFont="1" applyFill="1" applyBorder="1" applyAlignment="1"/>
    <xf numFmtId="169" fontId="32" fillId="0" borderId="0" xfId="13" applyNumberFormat="1" applyFont="1" applyBorder="1" applyAlignment="1"/>
    <xf numFmtId="169" fontId="37" fillId="0" borderId="0" xfId="13" applyNumberFormat="1" applyFont="1" applyBorder="1" applyAlignment="1"/>
    <xf numFmtId="169" fontId="0" fillId="0" borderId="0" xfId="13" applyNumberFormat="1" applyFont="1" applyBorder="1" applyAlignment="1"/>
    <xf numFmtId="0" fontId="6" fillId="0" borderId="48" xfId="3" applyFont="1" applyBorder="1" applyAlignment="1">
      <alignment horizontal="left" indent="1"/>
    </xf>
    <xf numFmtId="165" fontId="6" fillId="0" borderId="48" xfId="15" applyFont="1" applyFill="1" applyBorder="1" applyAlignment="1"/>
    <xf numFmtId="0" fontId="6" fillId="0" borderId="48" xfId="3" applyFont="1" applyBorder="1" applyAlignment="1">
      <alignment horizontal="center"/>
    </xf>
    <xf numFmtId="166" fontId="6" fillId="0" borderId="48" xfId="15" applyNumberFormat="1" applyFont="1" applyFill="1" applyBorder="1" applyAlignment="1"/>
    <xf numFmtId="169" fontId="38" fillId="7" borderId="0" xfId="13" applyNumberFormat="1" applyFont="1" applyFill="1" applyBorder="1" applyAlignment="1"/>
    <xf numFmtId="164" fontId="0" fillId="0" borderId="0" xfId="13" quotePrefix="1" applyNumberFormat="1" applyFont="1" applyBorder="1" applyAlignment="1">
      <alignment horizontal="right"/>
    </xf>
    <xf numFmtId="0" fontId="6" fillId="0" borderId="0" xfId="3" applyFont="1" applyAlignment="1">
      <alignment horizontal="center" vertical="center"/>
    </xf>
    <xf numFmtId="0" fontId="6" fillId="0" borderId="0" xfId="3" applyFont="1" applyAlignment="1">
      <alignment wrapText="1"/>
    </xf>
    <xf numFmtId="169" fontId="39" fillId="7" borderId="0" xfId="13" applyNumberFormat="1" applyFont="1" applyFill="1" applyBorder="1" applyAlignment="1"/>
    <xf numFmtId="5" fontId="6" fillId="0" borderId="0" xfId="3" applyNumberFormat="1" applyFont="1" applyAlignment="1"/>
    <xf numFmtId="166" fontId="4" fillId="0" borderId="50" xfId="15" applyNumberFormat="1" applyFont="1" applyFill="1" applyBorder="1" applyAlignment="1"/>
    <xf numFmtId="171" fontId="6" fillId="0" borderId="0" xfId="3" applyNumberFormat="1" applyFont="1" applyAlignment="1"/>
    <xf numFmtId="165" fontId="3" fillId="0" borderId="0" xfId="3" applyNumberFormat="1" applyAlignment="1"/>
    <xf numFmtId="0" fontId="6" fillId="0" borderId="51" xfId="3" applyFont="1" applyBorder="1" applyAlignment="1">
      <alignment horizontal="left" indent="1"/>
    </xf>
    <xf numFmtId="165" fontId="6" fillId="0" borderId="51" xfId="15" applyFont="1" applyFill="1" applyBorder="1" applyAlignment="1"/>
    <xf numFmtId="0" fontId="6" fillId="0" borderId="51" xfId="3" applyFont="1" applyBorder="1" applyAlignment="1">
      <alignment horizontal="center"/>
    </xf>
    <xf numFmtId="166" fontId="6" fillId="0" borderId="51" xfId="15" applyNumberFormat="1" applyFont="1" applyFill="1" applyBorder="1" applyAlignment="1"/>
    <xf numFmtId="166" fontId="7" fillId="0" borderId="40" xfId="15" applyNumberFormat="1" applyFont="1" applyFill="1" applyBorder="1" applyAlignment="1"/>
    <xf numFmtId="166" fontId="7" fillId="0" borderId="8" xfId="15" applyNumberFormat="1" applyFont="1" applyFill="1" applyBorder="1" applyAlignment="1"/>
    <xf numFmtId="0" fontId="6" fillId="7" borderId="52" xfId="3" applyFont="1" applyFill="1" applyBorder="1" applyAlignment="1">
      <alignment horizontal="center"/>
    </xf>
    <xf numFmtId="0" fontId="6" fillId="7" borderId="50" xfId="3" applyFont="1" applyFill="1" applyBorder="1" applyAlignment="1">
      <alignment horizontal="center"/>
    </xf>
    <xf numFmtId="49" fontId="6" fillId="0" borderId="48" xfId="3" applyNumberFormat="1" applyFont="1" applyBorder="1" applyAlignment="1">
      <alignment horizontal="left" indent="1"/>
    </xf>
    <xf numFmtId="0" fontId="8" fillId="7" borderId="50" xfId="3" applyFont="1" applyFill="1" applyBorder="1" applyAlignment="1"/>
    <xf numFmtId="170" fontId="8" fillId="0" borderId="0" xfId="3" applyNumberFormat="1" applyFont="1" applyAlignment="1"/>
    <xf numFmtId="0" fontId="8" fillId="7" borderId="0" xfId="3" applyFont="1" applyFill="1" applyAlignment="1"/>
    <xf numFmtId="0" fontId="8" fillId="7" borderId="0" xfId="3" applyFont="1" applyFill="1" applyAlignment="1">
      <alignment horizontal="center"/>
    </xf>
    <xf numFmtId="166" fontId="4" fillId="0" borderId="0" xfId="15" applyNumberFormat="1" applyFont="1" applyFill="1" applyAlignment="1"/>
    <xf numFmtId="49" fontId="6" fillId="0" borderId="51" xfId="3" applyNumberFormat="1" applyFont="1" applyBorder="1" applyAlignment="1">
      <alignment horizontal="left" indent="1"/>
    </xf>
    <xf numFmtId="166" fontId="8" fillId="0" borderId="40" xfId="15" applyNumberFormat="1" applyFont="1" applyFill="1" applyBorder="1" applyAlignment="1"/>
    <xf numFmtId="49" fontId="6" fillId="0" borderId="0" xfId="3" applyNumberFormat="1" applyFont="1" applyAlignment="1">
      <alignment horizontal="left" indent="1"/>
    </xf>
    <xf numFmtId="0" fontId="8" fillId="0" borderId="0" xfId="3" applyFont="1" applyAlignment="1">
      <alignment horizontal="center"/>
    </xf>
    <xf numFmtId="166" fontId="8" fillId="0" borderId="0" xfId="15" applyNumberFormat="1" applyFont="1" applyFill="1" applyBorder="1" applyAlignment="1"/>
    <xf numFmtId="166" fontId="7" fillId="0" borderId="0" xfId="15" applyNumberFormat="1" applyFont="1" applyFill="1" applyBorder="1" applyAlignment="1"/>
    <xf numFmtId="2" fontId="7" fillId="0" borderId="0" xfId="15" applyNumberFormat="1" applyFont="1" applyFill="1" applyBorder="1" applyAlignment="1"/>
    <xf numFmtId="2" fontId="8" fillId="0" borderId="0" xfId="15" applyNumberFormat="1" applyFont="1" applyFill="1" applyBorder="1" applyAlignment="1"/>
    <xf numFmtId="169" fontId="30" fillId="7" borderId="50" xfId="13" applyNumberFormat="1" applyFont="1" applyFill="1" applyBorder="1" applyAlignment="1"/>
    <xf numFmtId="169" fontId="32" fillId="0" borderId="50" xfId="13" applyNumberFormat="1" applyFont="1" applyBorder="1" applyAlignment="1"/>
    <xf numFmtId="169" fontId="37" fillId="0" borderId="50" xfId="13" applyNumberFormat="1" applyFont="1" applyBorder="1" applyAlignment="1"/>
    <xf numFmtId="169" fontId="40" fillId="7" borderId="0" xfId="13" applyNumberFormat="1" applyFont="1" applyFill="1" applyAlignment="1"/>
    <xf numFmtId="169" fontId="41" fillId="0" borderId="0" xfId="13" applyNumberFormat="1" applyFont="1" applyAlignment="1"/>
    <xf numFmtId="169" fontId="0" fillId="7" borderId="50" xfId="13" applyNumberFormat="1" applyFont="1" applyFill="1" applyBorder="1" applyAlignment="1"/>
    <xf numFmtId="169" fontId="0" fillId="0" borderId="50" xfId="13" applyNumberFormat="1" applyFont="1" applyBorder="1" applyAlignment="1"/>
    <xf numFmtId="1" fontId="0" fillId="0" borderId="0" xfId="13" applyNumberFormat="1" applyFont="1" applyAlignment="1"/>
    <xf numFmtId="169" fontId="42" fillId="0" borderId="0" xfId="13" applyNumberFormat="1" applyFont="1" applyAlignment="1"/>
    <xf numFmtId="169" fontId="29" fillId="7" borderId="50" xfId="13" applyNumberFormat="1" applyFont="1" applyFill="1" applyBorder="1" applyAlignment="1"/>
    <xf numFmtId="169" fontId="39" fillId="7" borderId="50" xfId="13" applyNumberFormat="1" applyFont="1" applyFill="1" applyBorder="1" applyAlignment="1"/>
    <xf numFmtId="169" fontId="43" fillId="0" borderId="0" xfId="13" applyNumberFormat="1" applyFont="1" applyAlignment="1"/>
    <xf numFmtId="169" fontId="38" fillId="7" borderId="50" xfId="13" applyNumberFormat="1" applyFont="1" applyFill="1" applyBorder="1" applyAlignment="1"/>
    <xf numFmtId="169" fontId="29" fillId="0" borderId="50" xfId="13" applyNumberFormat="1" applyFont="1" applyBorder="1" applyAlignment="1"/>
    <xf numFmtId="169" fontId="38" fillId="7" borderId="0" xfId="13" applyNumberFormat="1" applyFont="1" applyFill="1" applyAlignment="1"/>
    <xf numFmtId="169" fontId="39" fillId="7" borderId="0" xfId="13" applyNumberFormat="1" applyFont="1" applyFill="1" applyAlignment="1"/>
    <xf numFmtId="169" fontId="30" fillId="7" borderId="0" xfId="13" applyNumberFormat="1" applyFont="1" applyFill="1" applyAlignment="1"/>
    <xf numFmtId="169" fontId="44" fillId="0" borderId="0" xfId="13" applyNumberFormat="1" applyFont="1" applyAlignment="1"/>
    <xf numFmtId="169" fontId="45" fillId="0" borderId="0" xfId="13" applyNumberFormat="1" applyFont="1" applyAlignment="1"/>
    <xf numFmtId="169" fontId="38" fillId="0" borderId="0" xfId="13" applyNumberFormat="1" applyFont="1" applyAlignment="1"/>
    <xf numFmtId="1" fontId="46" fillId="0" borderId="0" xfId="3" applyNumberFormat="1" applyFont="1">
      <alignment vertical="center"/>
    </xf>
    <xf numFmtId="5" fontId="0" fillId="0" borderId="0" xfId="13" applyNumberFormat="1" applyFont="1" applyAlignment="1"/>
    <xf numFmtId="169" fontId="34" fillId="0" borderId="48" xfId="6" applyNumberFormat="1" applyFont="1" applyFill="1" applyBorder="1" applyAlignment="1">
      <alignment horizontal="center" vertical="center"/>
    </xf>
    <xf numFmtId="5" fontId="34" fillId="0" borderId="48" xfId="3" applyNumberFormat="1" applyFont="1" applyBorder="1">
      <alignment vertical="center"/>
    </xf>
    <xf numFmtId="0" fontId="6" fillId="0" borderId="0" xfId="3" applyFont="1" applyAlignment="1">
      <alignment horizontal="left" indent="1"/>
    </xf>
    <xf numFmtId="165" fontId="6" fillId="0" borderId="0" xfId="15" applyFont="1" applyFill="1" applyBorder="1" applyAlignment="1"/>
    <xf numFmtId="5" fontId="6" fillId="0" borderId="0" xfId="15" applyNumberFormat="1" applyFont="1" applyFill="1" applyBorder="1" applyAlignment="1"/>
    <xf numFmtId="166" fontId="6" fillId="0" borderId="0" xfId="15" applyNumberFormat="1" applyFont="1" applyFill="1" applyBorder="1" applyAlignment="1"/>
    <xf numFmtId="5" fontId="4" fillId="0" borderId="0" xfId="15" applyNumberFormat="1" applyFont="1" applyFill="1" applyBorder="1" applyAlignment="1"/>
    <xf numFmtId="0" fontId="47" fillId="0" borderId="0" xfId="3" applyFont="1">
      <alignment vertical="center"/>
    </xf>
    <xf numFmtId="169" fontId="39" fillId="0" borderId="0" xfId="13" applyNumberFormat="1" applyFont="1" applyAlignment="1"/>
    <xf numFmtId="169" fontId="32" fillId="0" borderId="0" xfId="13" applyNumberFormat="1" applyFont="1" applyAlignment="1">
      <alignment horizontal="center"/>
    </xf>
    <xf numFmtId="0" fontId="46" fillId="0" borderId="48" xfId="3" applyFont="1" applyBorder="1">
      <alignment vertical="center"/>
    </xf>
    <xf numFmtId="43" fontId="3" fillId="0" borderId="0" xfId="3" applyNumberFormat="1" applyAlignment="1"/>
    <xf numFmtId="169" fontId="48" fillId="0" borderId="0" xfId="13" applyNumberFormat="1" applyFont="1" applyAlignment="1"/>
    <xf numFmtId="169" fontId="0" fillId="0" borderId="0" xfId="13" quotePrefix="1" applyNumberFormat="1" applyFont="1" applyAlignment="1"/>
    <xf numFmtId="164" fontId="0" fillId="7" borderId="0" xfId="13" quotePrefix="1" applyNumberFormat="1" applyFont="1" applyFill="1" applyAlignment="1">
      <alignment horizontal="right"/>
    </xf>
    <xf numFmtId="169" fontId="0" fillId="0" borderId="0" xfId="13" applyNumberFormat="1" applyFont="1" applyAlignment="1">
      <alignment horizontal="right" vertical="center"/>
    </xf>
    <xf numFmtId="0" fontId="49" fillId="0" borderId="0" xfId="3" applyFont="1">
      <alignment vertical="center"/>
    </xf>
    <xf numFmtId="169" fontId="33" fillId="0" borderId="0" xfId="13" applyNumberFormat="1" applyFont="1" applyAlignment="1"/>
    <xf numFmtId="169" fontId="37" fillId="0" borderId="0" xfId="13" applyNumberFormat="1" applyFont="1" applyAlignment="1"/>
    <xf numFmtId="169" fontId="29" fillId="7" borderId="0" xfId="13" applyNumberFormat="1" applyFont="1" applyFill="1" applyAlignment="1"/>
    <xf numFmtId="0" fontId="50" fillId="0" borderId="0" xfId="3" applyFont="1">
      <alignment vertical="center"/>
    </xf>
    <xf numFmtId="0" fontId="51" fillId="0" borderId="0" xfId="3" applyFont="1">
      <alignment vertical="center"/>
    </xf>
    <xf numFmtId="169" fontId="30" fillId="0" borderId="0" xfId="13" applyNumberFormat="1" applyFont="1" applyAlignment="1">
      <alignment horizontal="left" indent="2"/>
    </xf>
    <xf numFmtId="169" fontId="0" fillId="0" borderId="0" xfId="13" applyNumberFormat="1" applyFont="1" applyAlignment="1">
      <alignment horizontal="left" indent="2"/>
    </xf>
    <xf numFmtId="49" fontId="52" fillId="0" borderId="48" xfId="3" applyNumberFormat="1" applyFont="1" applyBorder="1" applyAlignment="1">
      <alignment horizontal="left" indent="1"/>
    </xf>
    <xf numFmtId="0" fontId="53" fillId="8" borderId="49" xfId="3" applyFont="1" applyFill="1" applyBorder="1" applyAlignment="1"/>
    <xf numFmtId="172" fontId="52" fillId="0" borderId="49" xfId="13" applyNumberFormat="1" applyFont="1" applyFill="1" applyBorder="1" applyAlignment="1"/>
    <xf numFmtId="0" fontId="52" fillId="0" borderId="49" xfId="3" applyFont="1" applyBorder="1" applyAlignment="1">
      <alignment horizontal="center"/>
    </xf>
    <xf numFmtId="164" fontId="55" fillId="0" borderId="49" xfId="13" applyNumberFormat="1" applyFont="1" applyFill="1" applyBorder="1" applyAlignment="1"/>
    <xf numFmtId="164" fontId="56" fillId="0" borderId="49" xfId="13" applyNumberFormat="1" applyFont="1" applyFill="1" applyBorder="1" applyAlignment="1"/>
    <xf numFmtId="173" fontId="57" fillId="0" borderId="8" xfId="3" applyNumberFormat="1" applyFont="1" applyBorder="1" applyAlignment="1"/>
    <xf numFmtId="0" fontId="52" fillId="0" borderId="48" xfId="3" applyFont="1" applyBorder="1" applyAlignment="1">
      <alignment horizontal="left" indent="1"/>
    </xf>
    <xf numFmtId="169" fontId="52" fillId="0" borderId="48" xfId="13" applyNumberFormat="1" applyFont="1" applyFill="1" applyBorder="1" applyAlignment="1"/>
    <xf numFmtId="0" fontId="52" fillId="0" borderId="48" xfId="3" applyFont="1" applyBorder="1" applyAlignment="1">
      <alignment horizontal="center"/>
    </xf>
    <xf numFmtId="164" fontId="52" fillId="0" borderId="48" xfId="13" applyNumberFormat="1" applyFont="1" applyFill="1" applyBorder="1" applyAlignment="1"/>
    <xf numFmtId="169" fontId="52" fillId="0" borderId="51" xfId="13" applyNumberFormat="1" applyFont="1" applyFill="1" applyBorder="1" applyAlignment="1"/>
    <xf numFmtId="0" fontId="52" fillId="0" borderId="51" xfId="3" applyFont="1" applyBorder="1" applyAlignment="1">
      <alignment horizontal="center"/>
    </xf>
    <xf numFmtId="164" fontId="52" fillId="0" borderId="51" xfId="13" applyNumberFormat="1" applyFont="1" applyFill="1" applyBorder="1" applyAlignment="1"/>
    <xf numFmtId="164" fontId="58" fillId="0" borderId="0" xfId="13" applyNumberFormat="1" applyFont="1" applyFill="1" applyAlignment="1"/>
    <xf numFmtId="0" fontId="52" fillId="0" borderId="51" xfId="3" applyFont="1" applyBorder="1" applyAlignment="1">
      <alignment horizontal="left" indent="1"/>
    </xf>
    <xf numFmtId="49" fontId="52" fillId="0" borderId="51" xfId="3" applyNumberFormat="1" applyFont="1" applyBorder="1" applyAlignment="1">
      <alignment horizontal="left" indent="1"/>
    </xf>
    <xf numFmtId="164" fontId="53" fillId="0" borderId="40" xfId="13" applyNumberFormat="1" applyFont="1" applyFill="1" applyBorder="1" applyAlignment="1"/>
    <xf numFmtId="0" fontId="59" fillId="0" borderId="0" xfId="3" applyFont="1" applyAlignment="1">
      <alignment horizontal="center" vertical="center"/>
    </xf>
    <xf numFmtId="0" fontId="59" fillId="0" borderId="0" xfId="3" applyFont="1">
      <alignment vertical="center"/>
    </xf>
    <xf numFmtId="0" fontId="47" fillId="0" borderId="0" xfId="3" applyFont="1" applyAlignment="1">
      <alignment horizontal="center" vertical="center"/>
    </xf>
    <xf numFmtId="169" fontId="60" fillId="0" borderId="0" xfId="13" applyNumberFormat="1" applyFont="1" applyAlignment="1"/>
    <xf numFmtId="169" fontId="60" fillId="7" borderId="0" xfId="13" applyNumberFormat="1" applyFont="1" applyFill="1" applyAlignment="1"/>
    <xf numFmtId="0" fontId="61" fillId="0" borderId="0" xfId="3" applyFont="1">
      <alignment vertical="center"/>
    </xf>
    <xf numFmtId="0" fontId="34" fillId="0" borderId="0" xfId="3" applyFont="1" applyAlignment="1">
      <alignment horizontal="center" vertical="center"/>
    </xf>
    <xf numFmtId="166" fontId="34" fillId="0" borderId="0" xfId="15" applyNumberFormat="1" applyFont="1" applyFill="1" applyAlignment="1">
      <alignment vertical="center"/>
    </xf>
    <xf numFmtId="2" fontId="34" fillId="0" borderId="0" xfId="3" applyNumberFormat="1" applyFont="1">
      <alignment vertical="center"/>
    </xf>
    <xf numFmtId="5" fontId="62" fillId="0" borderId="48" xfId="3" applyNumberFormat="1" applyFont="1" applyBorder="1">
      <alignment vertical="center"/>
    </xf>
    <xf numFmtId="2" fontId="62" fillId="0" borderId="48" xfId="3" applyNumberFormat="1" applyFont="1" applyBorder="1">
      <alignment vertical="center"/>
    </xf>
    <xf numFmtId="2" fontId="34" fillId="0" borderId="48" xfId="3" applyNumberFormat="1" applyFont="1" applyBorder="1">
      <alignment vertical="center"/>
    </xf>
    <xf numFmtId="0" fontId="8" fillId="0" borderId="0" xfId="3" applyFont="1">
      <alignment vertical="center"/>
    </xf>
    <xf numFmtId="0" fontId="3" fillId="0" borderId="0" xfId="3" applyAlignment="1">
      <alignment horizontal="center"/>
    </xf>
    <xf numFmtId="169" fontId="63" fillId="0" borderId="0" xfId="13" applyNumberFormat="1" applyFont="1" applyBorder="1" applyAlignment="1"/>
    <xf numFmtId="169" fontId="63" fillId="0" borderId="0" xfId="13" applyNumberFormat="1" applyFont="1" applyAlignment="1"/>
    <xf numFmtId="169" fontId="64" fillId="0" borderId="0" xfId="13" applyNumberFormat="1" applyFont="1" applyBorder="1" applyAlignment="1"/>
    <xf numFmtId="169" fontId="65" fillId="0" borderId="0" xfId="13" applyNumberFormat="1" applyFont="1" applyAlignment="1"/>
    <xf numFmtId="0" fontId="62" fillId="0" borderId="48" xfId="3" applyFont="1" applyBorder="1">
      <alignment vertical="center"/>
    </xf>
    <xf numFmtId="169" fontId="62" fillId="0" borderId="48" xfId="6" applyNumberFormat="1" applyFont="1" applyFill="1" applyBorder="1" applyAlignment="1">
      <alignment horizontal="center" vertical="center"/>
    </xf>
    <xf numFmtId="0" fontId="7" fillId="0" borderId="48" xfId="14" applyFont="1" applyBorder="1" applyAlignment="1"/>
    <xf numFmtId="165" fontId="7" fillId="0" borderId="48" xfId="15" quotePrefix="1" applyFont="1" applyBorder="1" applyAlignment="1">
      <alignment horizontal="center"/>
    </xf>
    <xf numFmtId="165" fontId="4" fillId="0" borderId="48" xfId="15" applyFont="1" applyBorder="1" applyAlignment="1">
      <alignment horizontal="right"/>
    </xf>
    <xf numFmtId="166" fontId="4" fillId="0" borderId="48" xfId="15" applyNumberFormat="1" applyFont="1" applyBorder="1" applyAlignment="1">
      <alignment horizontal="right"/>
    </xf>
    <xf numFmtId="165" fontId="4" fillId="0" borderId="0" xfId="15" applyFont="1" applyAlignment="1"/>
    <xf numFmtId="0" fontId="4" fillId="0" borderId="48" xfId="14" applyFont="1" applyBorder="1" applyAlignment="1">
      <alignment horizontal="left" indent="1"/>
    </xf>
    <xf numFmtId="165" fontId="4" fillId="0" borderId="48" xfId="15" applyFont="1" applyBorder="1" applyAlignment="1">
      <alignment horizontal="center"/>
    </xf>
    <xf numFmtId="169" fontId="66" fillId="0" borderId="0" xfId="13" applyNumberFormat="1" applyFont="1" applyAlignment="1"/>
    <xf numFmtId="0" fontId="4" fillId="0" borderId="51" xfId="14" applyFont="1" applyBorder="1" applyAlignment="1">
      <alignment horizontal="left" indent="1"/>
    </xf>
    <xf numFmtId="165" fontId="4" fillId="0" borderId="51" xfId="15" applyFont="1" applyBorder="1" applyAlignment="1">
      <alignment horizontal="center"/>
    </xf>
    <xf numFmtId="165" fontId="4" fillId="0" borderId="51" xfId="15" applyFont="1" applyBorder="1" applyAlignment="1">
      <alignment horizontal="right"/>
    </xf>
    <xf numFmtId="166" fontId="4" fillId="0" borderId="51" xfId="15" applyNumberFormat="1" applyFont="1" applyBorder="1" applyAlignment="1">
      <alignment horizontal="right"/>
    </xf>
    <xf numFmtId="165" fontId="67" fillId="0" borderId="50" xfId="15" applyFont="1" applyBorder="1" applyAlignment="1"/>
    <xf numFmtId="165" fontId="4" fillId="0" borderId="50" xfId="15" applyFont="1" applyBorder="1" applyAlignment="1">
      <alignment horizontal="center"/>
    </xf>
    <xf numFmtId="165" fontId="4" fillId="0" borderId="50" xfId="15" applyFont="1" applyBorder="1" applyAlignment="1"/>
    <xf numFmtId="166" fontId="4" fillId="0" borderId="50" xfId="15" applyNumberFormat="1" applyFont="1" applyBorder="1" applyAlignment="1">
      <alignment horizontal="right"/>
    </xf>
    <xf numFmtId="165" fontId="4" fillId="0" borderId="0" xfId="15" applyFont="1" applyAlignment="1">
      <alignment horizontal="center"/>
    </xf>
    <xf numFmtId="0" fontId="4" fillId="0" borderId="49" xfId="14" applyFont="1" applyBorder="1" applyAlignment="1">
      <alignment horizontal="left" indent="1"/>
    </xf>
    <xf numFmtId="165" fontId="4" fillId="0" borderId="49" xfId="15" applyFont="1" applyBorder="1" applyAlignment="1">
      <alignment horizontal="center"/>
    </xf>
    <xf numFmtId="165" fontId="4" fillId="0" borderId="49" xfId="15" applyFont="1" applyBorder="1" applyAlignment="1">
      <alignment horizontal="right"/>
    </xf>
    <xf numFmtId="166" fontId="4" fillId="0" borderId="49" xfId="15" applyNumberFormat="1" applyFont="1" applyBorder="1" applyAlignment="1">
      <alignment horizontal="right"/>
    </xf>
    <xf numFmtId="166" fontId="69" fillId="0" borderId="49" xfId="15" applyNumberFormat="1" applyFont="1" applyBorder="1" applyAlignment="1">
      <alignment horizontal="right"/>
    </xf>
    <xf numFmtId="165" fontId="7" fillId="0" borderId="0" xfId="15" applyFont="1" applyAlignment="1"/>
    <xf numFmtId="0" fontId="4" fillId="0" borderId="48" xfId="14" applyFont="1" applyBorder="1" applyAlignment="1"/>
    <xf numFmtId="166" fontId="7" fillId="0" borderId="48" xfId="15" applyNumberFormat="1" applyFont="1" applyBorder="1" applyAlignment="1">
      <alignment horizontal="right"/>
    </xf>
    <xf numFmtId="166" fontId="70" fillId="0" borderId="48" xfId="15" applyNumberFormat="1" applyFont="1" applyBorder="1" applyAlignment="1">
      <alignment horizontal="right"/>
    </xf>
    <xf numFmtId="169" fontId="29" fillId="7" borderId="0" xfId="13" applyNumberFormat="1" applyFont="1" applyFill="1" applyBorder="1" applyAlignment="1"/>
    <xf numFmtId="169" fontId="29" fillId="9" borderId="0" xfId="13" applyNumberFormat="1" applyFont="1" applyFill="1" applyAlignment="1"/>
    <xf numFmtId="169" fontId="0" fillId="9" borderId="0" xfId="13" applyNumberFormat="1" applyFont="1" applyFill="1" applyAlignment="1"/>
    <xf numFmtId="0" fontId="7" fillId="0" borderId="0" xfId="3" applyFont="1" applyAlignment="1"/>
    <xf numFmtId="0" fontId="6" fillId="0" borderId="0" xfId="3" applyFont="1">
      <alignment vertical="center"/>
    </xf>
    <xf numFmtId="166" fontId="6" fillId="0" borderId="0" xfId="15" applyNumberFormat="1" applyFont="1" applyFill="1" applyBorder="1" applyAlignment="1">
      <alignment vertical="center"/>
    </xf>
    <xf numFmtId="0" fontId="8" fillId="0" borderId="0" xfId="3" applyFont="1" applyAlignment="1">
      <alignment horizontal="center" vertical="center"/>
    </xf>
    <xf numFmtId="166" fontId="8" fillId="0" borderId="0" xfId="15" applyNumberFormat="1" applyFont="1" applyFill="1" applyBorder="1" applyAlignment="1">
      <alignment horizontal="center" vertical="center"/>
    </xf>
    <xf numFmtId="0" fontId="8" fillId="0" borderId="0" xfId="3" applyFont="1" applyAlignment="1">
      <alignment horizontal="right" vertical="center"/>
    </xf>
    <xf numFmtId="0" fontId="71" fillId="0" borderId="0" xfId="0" applyFont="1"/>
    <xf numFmtId="0" fontId="6" fillId="0" borderId="29" xfId="3" applyFont="1" applyBorder="1" applyAlignment="1">
      <alignment horizontal="center" vertical="center"/>
    </xf>
    <xf numFmtId="0" fontId="6" fillId="0" borderId="4" xfId="3" applyFont="1" applyBorder="1" applyAlignment="1">
      <alignment horizontal="center" vertical="center"/>
    </xf>
    <xf numFmtId="0" fontId="6" fillId="0" borderId="3" xfId="3" applyFont="1" applyBorder="1" applyAlignment="1">
      <alignment horizontal="center" vertical="center"/>
    </xf>
    <xf numFmtId="0" fontId="6" fillId="0" borderId="53" xfId="3" applyFont="1" applyBorder="1" applyAlignment="1">
      <alignment horizontal="center" vertical="center"/>
    </xf>
    <xf numFmtId="0" fontId="6" fillId="0" borderId="5" xfId="3" applyFont="1" applyBorder="1" applyAlignment="1">
      <alignment horizontal="center" vertical="center"/>
    </xf>
    <xf numFmtId="166" fontId="6" fillId="0" borderId="5" xfId="15" applyNumberFormat="1" applyFont="1" applyFill="1" applyBorder="1" applyAlignment="1">
      <alignment horizontal="center" vertical="center"/>
    </xf>
    <xf numFmtId="174" fontId="6" fillId="0" borderId="16" xfId="3" applyNumberFormat="1" applyFont="1" applyBorder="1" applyAlignment="1">
      <alignment horizontal="center" vertical="center"/>
    </xf>
    <xf numFmtId="0" fontId="8" fillId="0" borderId="29" xfId="3" applyFont="1" applyBorder="1" applyAlignment="1">
      <alignment horizontal="center" vertical="center"/>
    </xf>
    <xf numFmtId="0" fontId="8" fillId="0" borderId="8" xfId="3" applyFont="1" applyBorder="1">
      <alignment vertical="center"/>
    </xf>
    <xf numFmtId="0" fontId="8" fillId="0" borderId="54" xfId="3" applyFont="1" applyBorder="1">
      <alignment vertical="center"/>
    </xf>
    <xf numFmtId="0" fontId="6" fillId="0" borderId="9" xfId="3" applyFont="1" applyBorder="1" applyAlignment="1">
      <alignment horizontal="center" vertical="center"/>
    </xf>
    <xf numFmtId="166" fontId="6" fillId="0" borderId="9" xfId="15" applyNumberFormat="1" applyFont="1" applyFill="1" applyBorder="1" applyAlignment="1">
      <alignment horizontal="center" vertical="center"/>
    </xf>
    <xf numFmtId="174" fontId="6" fillId="0" borderId="16" xfId="3" applyNumberFormat="1" applyFont="1" applyBorder="1">
      <alignment vertical="center"/>
    </xf>
    <xf numFmtId="0" fontId="6" fillId="0" borderId="8" xfId="3" applyFont="1" applyBorder="1">
      <alignment vertical="center"/>
    </xf>
    <xf numFmtId="0" fontId="6" fillId="0" borderId="54" xfId="3" applyFont="1" applyBorder="1">
      <alignment vertical="center"/>
    </xf>
    <xf numFmtId="169" fontId="6" fillId="0" borderId="9" xfId="6" applyNumberFormat="1" applyFont="1" applyFill="1" applyBorder="1" applyAlignment="1">
      <alignment horizontal="center" vertical="center"/>
    </xf>
    <xf numFmtId="166" fontId="6" fillId="0" borderId="16" xfId="3" applyNumberFormat="1" applyFont="1" applyBorder="1" applyAlignment="1">
      <alignment horizontal="center" vertical="center"/>
    </xf>
    <xf numFmtId="0" fontId="6" fillId="7" borderId="29" xfId="3" applyFont="1" applyFill="1" applyBorder="1" applyAlignment="1">
      <alignment horizontal="center" vertical="center"/>
    </xf>
    <xf numFmtId="166" fontId="8" fillId="0" borderId="9" xfId="15" applyNumberFormat="1" applyFont="1" applyFill="1" applyBorder="1" applyAlignment="1">
      <alignment horizontal="center" vertical="center"/>
    </xf>
    <xf numFmtId="166" fontId="8" fillId="0" borderId="16" xfId="3" applyNumberFormat="1" applyFont="1" applyBorder="1" applyAlignment="1">
      <alignment horizontal="center" vertical="center"/>
    </xf>
    <xf numFmtId="169" fontId="4" fillId="0" borderId="8" xfId="13" applyNumberFormat="1" applyFont="1" applyBorder="1" applyAlignment="1"/>
    <xf numFmtId="169" fontId="4" fillId="0" borderId="0" xfId="13" applyNumberFormat="1" applyFont="1" applyBorder="1" applyAlignment="1"/>
    <xf numFmtId="169" fontId="4" fillId="0" borderId="54" xfId="13" applyNumberFormat="1" applyFont="1" applyBorder="1" applyAlignment="1"/>
    <xf numFmtId="169" fontId="67" fillId="0" borderId="9" xfId="6" applyNumberFormat="1" applyFont="1" applyFill="1" applyBorder="1" applyAlignment="1">
      <alignment horizontal="center" vertical="center"/>
    </xf>
    <xf numFmtId="0" fontId="6" fillId="0" borderId="9" xfId="3" applyFont="1" applyBorder="1">
      <alignment vertical="center"/>
    </xf>
    <xf numFmtId="166" fontId="6" fillId="0" borderId="9" xfId="15" applyNumberFormat="1" applyFont="1" applyFill="1" applyBorder="1" applyAlignment="1">
      <alignment vertical="center"/>
    </xf>
    <xf numFmtId="169" fontId="6" fillId="7" borderId="9" xfId="6" applyNumberFormat="1" applyFont="1" applyFill="1" applyBorder="1" applyAlignment="1">
      <alignment horizontal="center" vertical="center"/>
    </xf>
    <xf numFmtId="166" fontId="6" fillId="0" borderId="0" xfId="3" applyNumberFormat="1" applyFont="1">
      <alignment vertical="center"/>
    </xf>
    <xf numFmtId="0" fontId="14" fillId="0" borderId="29" xfId="3" applyFont="1" applyBorder="1" applyAlignment="1">
      <alignment horizontal="center" vertical="center"/>
    </xf>
    <xf numFmtId="0" fontId="6" fillId="7" borderId="8" xfId="3" applyFont="1" applyFill="1" applyBorder="1">
      <alignment vertical="center"/>
    </xf>
    <xf numFmtId="0" fontId="6" fillId="7" borderId="0" xfId="3" applyFont="1" applyFill="1">
      <alignment vertical="center"/>
    </xf>
    <xf numFmtId="0" fontId="6" fillId="7" borderId="54" xfId="3" applyFont="1" applyFill="1" applyBorder="1">
      <alignment vertical="center"/>
    </xf>
    <xf numFmtId="169" fontId="12" fillId="0" borderId="9" xfId="6" applyNumberFormat="1" applyFont="1" applyFill="1" applyBorder="1" applyAlignment="1">
      <alignment horizontal="center" vertical="center"/>
    </xf>
    <xf numFmtId="166" fontId="12" fillId="0" borderId="9" xfId="15" applyNumberFormat="1" applyFont="1" applyFill="1" applyBorder="1" applyAlignment="1">
      <alignment horizontal="center" vertical="center"/>
    </xf>
    <xf numFmtId="166" fontId="12" fillId="0" borderId="16" xfId="3" applyNumberFormat="1" applyFont="1" applyBorder="1" applyAlignment="1">
      <alignment horizontal="center" vertical="center"/>
    </xf>
    <xf numFmtId="169" fontId="12" fillId="0" borderId="8" xfId="13" applyNumberFormat="1" applyFont="1" applyBorder="1" applyAlignment="1"/>
    <xf numFmtId="169" fontId="12" fillId="0" borderId="0" xfId="13" applyNumberFormat="1" applyFont="1" applyBorder="1" applyAlignment="1"/>
    <xf numFmtId="169" fontId="12" fillId="0" borderId="54" xfId="13" applyNumberFormat="1" applyFont="1" applyBorder="1" applyAlignment="1"/>
    <xf numFmtId="0" fontId="6" fillId="0" borderId="55" xfId="3" applyFont="1" applyBorder="1" applyAlignment="1">
      <alignment horizontal="center" vertical="center"/>
    </xf>
    <xf numFmtId="0" fontId="6" fillId="0" borderId="19" xfId="3" applyFont="1" applyBorder="1">
      <alignment vertical="center"/>
    </xf>
    <xf numFmtId="0" fontId="6" fillId="0" borderId="18" xfId="3" applyFont="1" applyBorder="1">
      <alignment vertical="center"/>
    </xf>
    <xf numFmtId="0" fontId="6" fillId="0" borderId="56" xfId="3" applyFont="1" applyBorder="1">
      <alignment vertical="center"/>
    </xf>
    <xf numFmtId="0" fontId="6" fillId="0" borderId="18" xfId="3" applyFont="1" applyBorder="1" applyAlignment="1">
      <alignment horizontal="center" vertical="center"/>
    </xf>
    <xf numFmtId="169" fontId="6" fillId="0" borderId="20" xfId="6" applyNumberFormat="1" applyFont="1" applyFill="1" applyBorder="1" applyAlignment="1">
      <alignment horizontal="center" vertical="center"/>
    </xf>
    <xf numFmtId="166" fontId="6" fillId="0" borderId="20" xfId="15" applyNumberFormat="1" applyFont="1" applyFill="1" applyBorder="1" applyAlignment="1">
      <alignment horizontal="center" vertical="center"/>
    </xf>
    <xf numFmtId="166" fontId="8" fillId="0" borderId="57" xfId="3" applyNumberFormat="1" applyFont="1" applyBorder="1" applyAlignment="1">
      <alignment horizontal="center" vertical="center"/>
    </xf>
    <xf numFmtId="166" fontId="8" fillId="0" borderId="16" xfId="6" applyNumberFormat="1" applyFont="1" applyFill="1" applyBorder="1" applyAlignment="1">
      <alignment vertical="center"/>
    </xf>
    <xf numFmtId="0" fontId="6" fillId="0" borderId="30" xfId="3" applyFont="1" applyBorder="1">
      <alignment vertical="center"/>
    </xf>
    <xf numFmtId="0" fontId="6" fillId="0" borderId="12" xfId="3" applyFont="1" applyBorder="1">
      <alignment vertical="center"/>
    </xf>
    <xf numFmtId="0" fontId="6" fillId="0" borderId="1" xfId="3" applyFont="1" applyBorder="1">
      <alignment vertical="center"/>
    </xf>
    <xf numFmtId="0" fontId="6" fillId="0" borderId="58" xfId="3" applyFont="1" applyBorder="1">
      <alignment vertical="center"/>
    </xf>
    <xf numFmtId="0" fontId="6" fillId="0" borderId="1" xfId="3" applyFont="1" applyBorder="1" applyAlignment="1">
      <alignment horizontal="center" vertical="center"/>
    </xf>
    <xf numFmtId="169" fontId="6" fillId="0" borderId="13" xfId="6" applyNumberFormat="1" applyFont="1" applyFill="1" applyBorder="1" applyAlignment="1">
      <alignment horizontal="right" vertical="center"/>
    </xf>
    <xf numFmtId="166" fontId="6" fillId="0" borderId="13" xfId="15" applyNumberFormat="1" applyFont="1" applyFill="1" applyBorder="1" applyAlignment="1">
      <alignment horizontal="right" vertical="center"/>
    </xf>
    <xf numFmtId="166" fontId="6" fillId="0" borderId="31" xfId="6" applyNumberFormat="1" applyFont="1" applyFill="1" applyBorder="1" applyAlignment="1">
      <alignment vertical="center"/>
    </xf>
    <xf numFmtId="169" fontId="6" fillId="0" borderId="0" xfId="6" applyNumberFormat="1" applyFont="1" applyFill="1" applyBorder="1" applyAlignment="1">
      <alignment horizontal="right" vertical="center"/>
    </xf>
    <xf numFmtId="166" fontId="6" fillId="0" borderId="0" xfId="15" applyNumberFormat="1" applyFont="1" applyFill="1" applyBorder="1" applyAlignment="1">
      <alignment horizontal="right" vertical="center"/>
    </xf>
    <xf numFmtId="166" fontId="8" fillId="0" borderId="0" xfId="6" applyNumberFormat="1" applyFont="1" applyFill="1" applyBorder="1" applyAlignment="1">
      <alignment vertical="center"/>
    </xf>
    <xf numFmtId="166" fontId="6" fillId="0" borderId="0" xfId="6" applyNumberFormat="1" applyFont="1" applyFill="1" applyBorder="1" applyAlignment="1">
      <alignment vertical="center"/>
    </xf>
    <xf numFmtId="0" fontId="17" fillId="0" borderId="0" xfId="16" applyNumberFormat="1" applyFont="1" applyFill="1" applyBorder="1" applyAlignment="1">
      <alignment horizontal="center" vertical="center"/>
    </xf>
    <xf numFmtId="165" fontId="6" fillId="0" borderId="0" xfId="15" applyFont="1" applyFill="1" applyBorder="1" applyAlignment="1">
      <alignment vertical="center"/>
    </xf>
    <xf numFmtId="0" fontId="73" fillId="0" borderId="0" xfId="3" applyFont="1" applyAlignment="1">
      <alignment horizontal="center" vertical="center"/>
    </xf>
    <xf numFmtId="166" fontId="12" fillId="0" borderId="10" xfId="1" applyNumberFormat="1" applyFont="1" applyFill="1" applyBorder="1" applyAlignment="1"/>
    <xf numFmtId="166" fontId="14" fillId="0" borderId="21" xfId="1" applyNumberFormat="1" applyFont="1" applyBorder="1" applyAlignment="1"/>
    <xf numFmtId="169" fontId="0" fillId="10" borderId="0" xfId="13" applyNumberFormat="1" applyFont="1" applyFill="1" applyAlignment="1"/>
    <xf numFmtId="169" fontId="47" fillId="7" borderId="0" xfId="13" applyNumberFormat="1" applyFont="1" applyFill="1" applyAlignment="1"/>
    <xf numFmtId="169" fontId="47" fillId="0" borderId="0" xfId="13" applyNumberFormat="1" applyFont="1" applyAlignment="1"/>
    <xf numFmtId="169" fontId="40" fillId="0" borderId="0" xfId="13" applyNumberFormat="1" applyFont="1" applyAlignment="1"/>
    <xf numFmtId="0" fontId="3" fillId="6" borderId="0" xfId="3" applyFill="1" applyAlignment="1"/>
    <xf numFmtId="1" fontId="0" fillId="0" borderId="0" xfId="13" applyNumberFormat="1" applyFont="1" applyAlignment="1">
      <alignment horizontal="center"/>
    </xf>
    <xf numFmtId="169" fontId="74" fillId="0" borderId="0" xfId="13" applyNumberFormat="1" applyFont="1" applyAlignment="1"/>
    <xf numFmtId="169" fontId="75" fillId="0" borderId="0" xfId="13" applyNumberFormat="1" applyFont="1" applyAlignment="1"/>
    <xf numFmtId="49" fontId="32" fillId="0" borderId="0" xfId="13" applyNumberFormat="1" applyFont="1" applyAlignment="1"/>
    <xf numFmtId="169" fontId="76" fillId="0" borderId="0" xfId="13" applyNumberFormat="1" applyFont="1" applyAlignment="1"/>
    <xf numFmtId="165" fontId="6" fillId="0" borderId="49" xfId="5" applyFont="1" applyFill="1" applyBorder="1" applyAlignment="1"/>
    <xf numFmtId="166" fontId="36" fillId="0" borderId="49" xfId="5" applyNumberFormat="1" applyFont="1" applyFill="1" applyBorder="1" applyAlignment="1"/>
    <xf numFmtId="166" fontId="17" fillId="0" borderId="49" xfId="5" applyNumberFormat="1" applyFont="1" applyFill="1" applyBorder="1" applyAlignment="1"/>
    <xf numFmtId="166" fontId="4" fillId="0" borderId="8" xfId="5" applyNumberFormat="1" applyFont="1" applyFill="1" applyBorder="1" applyAlignment="1"/>
    <xf numFmtId="165" fontId="6" fillId="0" borderId="48" xfId="5" applyFont="1" applyFill="1" applyBorder="1" applyAlignment="1"/>
    <xf numFmtId="166" fontId="6" fillId="0" borderId="48" xfId="5" applyNumberFormat="1" applyFont="1" applyFill="1" applyBorder="1" applyAlignment="1"/>
    <xf numFmtId="166" fontId="4" fillId="0" borderId="50" xfId="5" applyNumberFormat="1" applyFont="1" applyFill="1" applyBorder="1" applyAlignment="1"/>
    <xf numFmtId="165" fontId="6" fillId="0" borderId="51" xfId="5" applyFont="1" applyFill="1" applyBorder="1" applyAlignment="1"/>
    <xf numFmtId="166" fontId="6" fillId="0" borderId="51" xfId="5" applyNumberFormat="1" applyFont="1" applyFill="1" applyBorder="1" applyAlignment="1"/>
    <xf numFmtId="166" fontId="7" fillId="0" borderId="40" xfId="5" applyNumberFormat="1" applyFont="1" applyFill="1" applyBorder="1" applyAlignment="1"/>
    <xf numFmtId="166" fontId="7" fillId="0" borderId="8" xfId="5" applyNumberFormat="1" applyFont="1" applyFill="1" applyBorder="1" applyAlignment="1"/>
    <xf numFmtId="166" fontId="7" fillId="0" borderId="0" xfId="5" applyNumberFormat="1" applyFont="1" applyFill="1" applyBorder="1" applyAlignment="1"/>
    <xf numFmtId="166" fontId="4" fillId="0" borderId="0" xfId="5" applyNumberFormat="1" applyFont="1" applyFill="1" applyAlignment="1"/>
    <xf numFmtId="166" fontId="8" fillId="0" borderId="40" xfId="5" applyNumberFormat="1" applyFont="1" applyFill="1" applyBorder="1" applyAlignment="1"/>
    <xf numFmtId="166" fontId="8" fillId="0" borderId="0" xfId="5" applyNumberFormat="1" applyFont="1" applyFill="1" applyBorder="1" applyAlignment="1"/>
    <xf numFmtId="2" fontId="7" fillId="0" borderId="0" xfId="5" applyNumberFormat="1" applyFont="1" applyFill="1" applyBorder="1" applyAlignment="1"/>
    <xf numFmtId="166" fontId="6" fillId="0" borderId="0" xfId="5" applyNumberFormat="1" applyFont="1" applyFill="1" applyBorder="1" applyAlignment="1"/>
    <xf numFmtId="2" fontId="8" fillId="0" borderId="0" xfId="5" applyNumberFormat="1" applyFont="1" applyFill="1" applyBorder="1" applyAlignment="1"/>
    <xf numFmtId="169" fontId="0" fillId="0" borderId="48" xfId="13" applyNumberFormat="1" applyFont="1" applyBorder="1" applyAlignment="1">
      <alignment horizontal="center"/>
    </xf>
    <xf numFmtId="0" fontId="6" fillId="0" borderId="40" xfId="3" applyFont="1" applyBorder="1" applyAlignment="1">
      <alignment horizontal="left" indent="1"/>
    </xf>
    <xf numFmtId="165" fontId="6" fillId="0" borderId="40" xfId="5" applyFont="1" applyFill="1" applyBorder="1" applyAlignment="1"/>
    <xf numFmtId="0" fontId="6" fillId="0" borderId="40" xfId="3" applyFont="1" applyBorder="1" applyAlignment="1">
      <alignment horizontal="center"/>
    </xf>
    <xf numFmtId="166" fontId="6" fillId="0" borderId="40" xfId="5" applyNumberFormat="1" applyFont="1" applyFill="1" applyBorder="1" applyAlignment="1"/>
    <xf numFmtId="164" fontId="0" fillId="0" borderId="0" xfId="13" applyNumberFormat="1" applyFont="1" applyAlignment="1">
      <alignment horizontal="center"/>
    </xf>
    <xf numFmtId="169" fontId="77" fillId="7" borderId="0" xfId="13" applyNumberFormat="1" applyFont="1" applyFill="1" applyAlignment="1"/>
    <xf numFmtId="169" fontId="78" fillId="0" borderId="0" xfId="13" applyNumberFormat="1" applyFont="1" applyAlignment="1"/>
    <xf numFmtId="5" fontId="6" fillId="0" borderId="0" xfId="5" applyNumberFormat="1" applyFont="1" applyFill="1" applyBorder="1" applyAlignment="1"/>
    <xf numFmtId="5" fontId="4" fillId="0" borderId="0" xfId="5" applyNumberFormat="1" applyFont="1" applyFill="1" applyBorder="1" applyAlignment="1"/>
    <xf numFmtId="169" fontId="34" fillId="0" borderId="0" xfId="6" applyNumberFormat="1" applyFont="1" applyFill="1" applyBorder="1" applyAlignment="1">
      <alignment horizontal="center" vertical="center"/>
    </xf>
    <xf numFmtId="5" fontId="34" fillId="0" borderId="0" xfId="3" applyNumberFormat="1" applyFont="1">
      <alignment vertical="center"/>
    </xf>
    <xf numFmtId="0" fontId="67" fillId="0" borderId="0" xfId="3" applyFont="1" applyAlignment="1">
      <alignment horizontal="center"/>
    </xf>
    <xf numFmtId="4" fontId="6" fillId="0" borderId="0" xfId="3" applyNumberFormat="1" applyFont="1" applyAlignment="1">
      <alignment horizontal="center"/>
    </xf>
    <xf numFmtId="169" fontId="6" fillId="0" borderId="0" xfId="3" applyNumberFormat="1" applyFont="1" applyAlignment="1">
      <alignment horizontal="center"/>
    </xf>
    <xf numFmtId="2" fontId="6" fillId="0" borderId="0" xfId="3" applyNumberFormat="1" applyFont="1" applyAlignment="1">
      <alignment horizontal="center"/>
    </xf>
    <xf numFmtId="2" fontId="4" fillId="0" borderId="0" xfId="5" applyNumberFormat="1" applyFont="1" applyFill="1" applyBorder="1" applyAlignment="1"/>
    <xf numFmtId="0" fontId="62" fillId="0" borderId="48" xfId="3" applyFont="1" applyBorder="1" applyAlignment="1">
      <alignment horizontal="center" vertical="center"/>
    </xf>
    <xf numFmtId="0" fontId="62" fillId="0" borderId="0" xfId="3" applyFont="1">
      <alignment vertical="center"/>
    </xf>
    <xf numFmtId="0" fontId="62" fillId="0" borderId="0" xfId="3" applyFont="1" applyAlignment="1">
      <alignment horizontal="center" vertical="center"/>
    </xf>
    <xf numFmtId="169" fontId="62" fillId="0" borderId="0" xfId="6" applyNumberFormat="1" applyFont="1" applyFill="1" applyBorder="1" applyAlignment="1">
      <alignment horizontal="center" vertical="center"/>
    </xf>
    <xf numFmtId="5" fontId="62" fillId="0" borderId="0" xfId="3" applyNumberFormat="1" applyFont="1">
      <alignment vertical="center"/>
    </xf>
    <xf numFmtId="165" fontId="7" fillId="0" borderId="48" xfId="5" quotePrefix="1" applyFont="1" applyBorder="1" applyAlignment="1">
      <alignment horizontal="center"/>
    </xf>
    <xf numFmtId="165" fontId="4" fillId="0" borderId="48" xfId="5" applyFont="1" applyBorder="1" applyAlignment="1">
      <alignment horizontal="right"/>
    </xf>
    <xf numFmtId="166" fontId="4" fillId="0" borderId="48" xfId="5" applyNumberFormat="1" applyFont="1" applyBorder="1" applyAlignment="1">
      <alignment horizontal="right"/>
    </xf>
    <xf numFmtId="165" fontId="4" fillId="0" borderId="0" xfId="5" applyFont="1" applyAlignment="1"/>
    <xf numFmtId="165" fontId="4" fillId="0" borderId="48" xfId="5" applyFont="1" applyBorder="1" applyAlignment="1">
      <alignment horizontal="center"/>
    </xf>
    <xf numFmtId="165" fontId="4" fillId="0" borderId="51" xfId="5" applyFont="1" applyBorder="1" applyAlignment="1">
      <alignment horizontal="center"/>
    </xf>
    <xf numFmtId="165" fontId="4" fillId="0" borderId="51" xfId="5" applyFont="1" applyBorder="1" applyAlignment="1">
      <alignment horizontal="right"/>
    </xf>
    <xf numFmtId="166" fontId="4" fillId="0" borderId="51" xfId="5" applyNumberFormat="1" applyFont="1" applyBorder="1" applyAlignment="1">
      <alignment horizontal="right"/>
    </xf>
    <xf numFmtId="165" fontId="67" fillId="0" borderId="50" xfId="5" applyFont="1" applyBorder="1" applyAlignment="1"/>
    <xf numFmtId="165" fontId="4" fillId="0" borderId="50" xfId="5" applyFont="1" applyBorder="1" applyAlignment="1">
      <alignment horizontal="center"/>
    </xf>
    <xf numFmtId="165" fontId="4" fillId="0" borderId="50" xfId="5" applyFont="1" applyBorder="1" applyAlignment="1"/>
    <xf numFmtId="166" fontId="4" fillId="0" borderId="50" xfId="5" applyNumberFormat="1" applyFont="1" applyBorder="1" applyAlignment="1">
      <alignment horizontal="right"/>
    </xf>
    <xf numFmtId="165" fontId="4" fillId="0" borderId="0" xfId="5" applyFont="1" applyAlignment="1">
      <alignment horizontal="center"/>
    </xf>
    <xf numFmtId="165" fontId="4" fillId="0" borderId="49" xfId="5" applyFont="1" applyBorder="1" applyAlignment="1">
      <alignment horizontal="center"/>
    </xf>
    <xf numFmtId="165" fontId="4" fillId="0" borderId="49" xfId="5" applyFont="1" applyBorder="1" applyAlignment="1">
      <alignment horizontal="right"/>
    </xf>
    <xf numFmtId="166" fontId="4" fillId="0" borderId="49" xfId="5" applyNumberFormat="1" applyFont="1" applyBorder="1" applyAlignment="1">
      <alignment horizontal="right"/>
    </xf>
    <xf numFmtId="166" fontId="69" fillId="0" borderId="49" xfId="5" applyNumberFormat="1" applyFont="1" applyBorder="1" applyAlignment="1">
      <alignment horizontal="right"/>
    </xf>
    <xf numFmtId="165" fontId="7" fillId="0" borderId="0" xfId="5" applyFont="1" applyAlignment="1"/>
    <xf numFmtId="166" fontId="7" fillId="0" borderId="48" xfId="5" applyNumberFormat="1" applyFont="1" applyBorder="1" applyAlignment="1">
      <alignment horizontal="right"/>
    </xf>
    <xf numFmtId="166" fontId="70" fillId="0" borderId="48" xfId="5" applyNumberFormat="1" applyFont="1" applyBorder="1" applyAlignment="1">
      <alignment horizontal="right"/>
    </xf>
    <xf numFmtId="0" fontId="28" fillId="0" borderId="48" xfId="3" applyFont="1" applyBorder="1">
      <alignment vertical="center"/>
    </xf>
    <xf numFmtId="5" fontId="79" fillId="0" borderId="0" xfId="3" applyNumberFormat="1" applyFont="1">
      <alignment vertical="center"/>
    </xf>
    <xf numFmtId="169" fontId="29" fillId="10" borderId="0" xfId="13" applyNumberFormat="1" applyFont="1" applyFill="1" applyAlignment="1"/>
    <xf numFmtId="0" fontId="12" fillId="0" borderId="0" xfId="3" applyFont="1">
      <alignment vertical="center"/>
    </xf>
    <xf numFmtId="0" fontId="12" fillId="0" borderId="0" xfId="3" applyFont="1" applyAlignment="1">
      <alignment horizontal="center" vertical="center"/>
    </xf>
    <xf numFmtId="166" fontId="12" fillId="0" borderId="0" xfId="5" applyNumberFormat="1" applyFont="1" applyFill="1" applyBorder="1" applyAlignment="1">
      <alignment vertical="center"/>
    </xf>
    <xf numFmtId="0" fontId="12" fillId="0" borderId="29" xfId="3" applyFont="1" applyBorder="1" applyAlignment="1">
      <alignment horizontal="center" vertical="center"/>
    </xf>
    <xf numFmtId="0" fontId="12" fillId="0" borderId="4" xfId="3" applyFont="1" applyBorder="1" applyAlignment="1">
      <alignment horizontal="center" vertical="center"/>
    </xf>
    <xf numFmtId="0" fontId="12" fillId="0" borderId="3" xfId="3" applyFont="1" applyBorder="1" applyAlignment="1">
      <alignment horizontal="center" vertical="center"/>
    </xf>
    <xf numFmtId="0" fontId="12" fillId="0" borderId="53" xfId="3" applyFont="1" applyBorder="1" applyAlignment="1">
      <alignment horizontal="center" vertical="center"/>
    </xf>
    <xf numFmtId="0" fontId="12" fillId="0" borderId="5" xfId="3" applyFont="1" applyBorder="1" applyAlignment="1">
      <alignment horizontal="center" vertical="center"/>
    </xf>
    <xf numFmtId="166" fontId="12" fillId="0" borderId="5" xfId="5" applyNumberFormat="1" applyFont="1" applyFill="1" applyBorder="1" applyAlignment="1">
      <alignment horizontal="center" vertical="center"/>
    </xf>
    <xf numFmtId="174" fontId="12" fillId="0" borderId="16" xfId="3" applyNumberFormat="1" applyFont="1" applyBorder="1" applyAlignment="1">
      <alignment horizontal="center" vertical="center"/>
    </xf>
    <xf numFmtId="0" fontId="14" fillId="0" borderId="8" xfId="3" applyFont="1" applyBorder="1">
      <alignment vertical="center"/>
    </xf>
    <xf numFmtId="0" fontId="14" fillId="0" borderId="0" xfId="3" applyFont="1">
      <alignment vertical="center"/>
    </xf>
    <xf numFmtId="0" fontId="14" fillId="0" borderId="54" xfId="3" applyFont="1" applyBorder="1">
      <alignment vertical="center"/>
    </xf>
    <xf numFmtId="0" fontId="12" fillId="0" borderId="9" xfId="3" applyFont="1" applyBorder="1" applyAlignment="1">
      <alignment horizontal="center" vertical="center"/>
    </xf>
    <xf numFmtId="166" fontId="12" fillId="0" borderId="9" xfId="5" applyNumberFormat="1" applyFont="1" applyFill="1" applyBorder="1" applyAlignment="1">
      <alignment horizontal="center" vertical="center"/>
    </xf>
    <xf numFmtId="174" fontId="12" fillId="0" borderId="16" xfId="3" applyNumberFormat="1" applyFont="1" applyBorder="1">
      <alignment vertical="center"/>
    </xf>
    <xf numFmtId="0" fontId="12" fillId="0" borderId="8" xfId="3" applyFont="1" applyBorder="1">
      <alignment vertical="center"/>
    </xf>
    <xf numFmtId="0" fontId="12" fillId="0" borderId="54" xfId="3" applyFont="1" applyBorder="1">
      <alignment vertical="center"/>
    </xf>
    <xf numFmtId="0" fontId="12" fillId="7" borderId="29" xfId="3" applyFont="1" applyFill="1" applyBorder="1" applyAlignment="1">
      <alignment horizontal="center" vertical="center"/>
    </xf>
    <xf numFmtId="166" fontId="14" fillId="0" borderId="9" xfId="5" applyNumberFormat="1" applyFont="1" applyFill="1" applyBorder="1" applyAlignment="1">
      <alignment horizontal="center" vertical="center"/>
    </xf>
    <xf numFmtId="166" fontId="14" fillId="0" borderId="16" xfId="3" applyNumberFormat="1" applyFont="1" applyBorder="1" applyAlignment="1">
      <alignment horizontal="center" vertical="center"/>
    </xf>
    <xf numFmtId="169" fontId="81" fillId="0" borderId="0" xfId="13" applyNumberFormat="1" applyFont="1" applyBorder="1" applyAlignment="1"/>
    <xf numFmtId="169" fontId="81" fillId="0" borderId="54" xfId="13" applyNumberFormat="1" applyFont="1" applyBorder="1" applyAlignment="1"/>
    <xf numFmtId="2" fontId="12" fillId="0" borderId="9" xfId="3" applyNumberFormat="1" applyFont="1" applyBorder="1">
      <alignment vertical="center"/>
    </xf>
    <xf numFmtId="166" fontId="12" fillId="0" borderId="9" xfId="5" applyNumberFormat="1" applyFont="1" applyFill="1" applyBorder="1" applyAlignment="1">
      <alignment vertical="center"/>
    </xf>
    <xf numFmtId="0" fontId="12" fillId="0" borderId="9" xfId="3" applyFont="1" applyBorder="1">
      <alignment vertical="center"/>
    </xf>
    <xf numFmtId="169" fontId="12" fillId="7" borderId="9" xfId="6" applyNumberFormat="1" applyFont="1" applyFill="1" applyBorder="1" applyAlignment="1">
      <alignment horizontal="center" vertical="center"/>
    </xf>
    <xf numFmtId="166" fontId="12" fillId="0" borderId="0" xfId="3" applyNumberFormat="1" applyFont="1">
      <alignment vertical="center"/>
    </xf>
    <xf numFmtId="0" fontId="12" fillId="7" borderId="8" xfId="3" applyFont="1" applyFill="1" applyBorder="1">
      <alignment vertical="center"/>
    </xf>
    <xf numFmtId="0" fontId="12" fillId="7" borderId="0" xfId="3" applyFont="1" applyFill="1">
      <alignment vertical="center"/>
    </xf>
    <xf numFmtId="49" fontId="12" fillId="0" borderId="8" xfId="13" applyNumberFormat="1" applyFont="1" applyBorder="1" applyAlignment="1"/>
    <xf numFmtId="49" fontId="12" fillId="0" borderId="0" xfId="13" applyNumberFormat="1" applyFont="1" applyBorder="1" applyAlignment="1"/>
    <xf numFmtId="49" fontId="12" fillId="0" borderId="54" xfId="13" applyNumberFormat="1" applyFont="1" applyBorder="1" applyAlignment="1"/>
    <xf numFmtId="0" fontId="12" fillId="0" borderId="55" xfId="3" applyFont="1" applyBorder="1" applyAlignment="1">
      <alignment horizontal="center" vertical="center"/>
    </xf>
    <xf numFmtId="0" fontId="12" fillId="0" borderId="19" xfId="3" applyFont="1" applyBorder="1">
      <alignment vertical="center"/>
    </xf>
    <xf numFmtId="0" fontId="12" fillId="0" borderId="18" xfId="3" applyFont="1" applyBorder="1">
      <alignment vertical="center"/>
    </xf>
    <xf numFmtId="0" fontId="12" fillId="0" borderId="56" xfId="3" applyFont="1" applyBorder="1">
      <alignment vertical="center"/>
    </xf>
    <xf numFmtId="0" fontId="12" fillId="0" borderId="18" xfId="3" applyFont="1" applyBorder="1" applyAlignment="1">
      <alignment horizontal="center" vertical="center"/>
    </xf>
    <xf numFmtId="169" fontId="12" fillId="0" borderId="20" xfId="6" applyNumberFormat="1" applyFont="1" applyFill="1" applyBorder="1" applyAlignment="1">
      <alignment horizontal="center" vertical="center"/>
    </xf>
    <xf numFmtId="166" fontId="12" fillId="0" borderId="20" xfId="5" applyNumberFormat="1" applyFont="1" applyFill="1" applyBorder="1" applyAlignment="1">
      <alignment horizontal="center" vertical="center"/>
    </xf>
    <xf numFmtId="166" fontId="14" fillId="0" borderId="57" xfId="3" applyNumberFormat="1" applyFont="1" applyBorder="1" applyAlignment="1">
      <alignment horizontal="center" vertical="center"/>
    </xf>
    <xf numFmtId="166" fontId="14" fillId="0" borderId="16" xfId="6" applyNumberFormat="1" applyFont="1" applyFill="1" applyBorder="1" applyAlignment="1">
      <alignment vertical="center"/>
    </xf>
    <xf numFmtId="0" fontId="12" fillId="0" borderId="30" xfId="3" applyFont="1" applyBorder="1">
      <alignment vertical="center"/>
    </xf>
    <xf numFmtId="0" fontId="12" fillId="0" borderId="12" xfId="3" applyFont="1" applyBorder="1">
      <alignment vertical="center"/>
    </xf>
    <xf numFmtId="0" fontId="12" fillId="0" borderId="1" xfId="3" applyFont="1" applyBorder="1">
      <alignment vertical="center"/>
    </xf>
    <xf numFmtId="0" fontId="12" fillId="0" borderId="58" xfId="3" applyFont="1" applyBorder="1">
      <alignment vertical="center"/>
    </xf>
    <xf numFmtId="0" fontId="12" fillId="0" borderId="1" xfId="3" applyFont="1" applyBorder="1" applyAlignment="1">
      <alignment horizontal="center" vertical="center"/>
    </xf>
    <xf numFmtId="169" fontId="12" fillId="0" borderId="13" xfId="6" applyNumberFormat="1" applyFont="1" applyFill="1" applyBorder="1" applyAlignment="1">
      <alignment horizontal="right" vertical="center"/>
    </xf>
    <xf numFmtId="166" fontId="12" fillId="0" borderId="13" xfId="5" applyNumberFormat="1" applyFont="1" applyFill="1" applyBorder="1" applyAlignment="1">
      <alignment horizontal="right" vertical="center"/>
    </xf>
    <xf numFmtId="166" fontId="12" fillId="0" borderId="31" xfId="6" applyNumberFormat="1" applyFont="1" applyFill="1" applyBorder="1" applyAlignment="1">
      <alignment vertical="center"/>
    </xf>
    <xf numFmtId="169" fontId="12" fillId="0" borderId="0" xfId="6" applyNumberFormat="1" applyFont="1" applyFill="1" applyBorder="1" applyAlignment="1">
      <alignment horizontal="right" vertical="center"/>
    </xf>
    <xf numFmtId="166" fontId="12" fillId="0" borderId="0" xfId="5" applyNumberFormat="1" applyFont="1" applyFill="1" applyBorder="1" applyAlignment="1">
      <alignment horizontal="right" vertical="center"/>
    </xf>
    <xf numFmtId="166" fontId="14" fillId="0" borderId="0" xfId="6" applyNumberFormat="1" applyFont="1" applyFill="1" applyBorder="1" applyAlignment="1">
      <alignment vertical="center"/>
    </xf>
    <xf numFmtId="166" fontId="12" fillId="0" borderId="0" xfId="6" applyNumberFormat="1" applyFont="1" applyFill="1" applyBorder="1" applyAlignment="1">
      <alignment vertical="center"/>
    </xf>
    <xf numFmtId="0" fontId="14" fillId="0" borderId="0" xfId="3" applyFont="1" applyAlignment="1">
      <alignment horizontal="center" vertical="center"/>
    </xf>
    <xf numFmtId="0" fontId="82" fillId="0" borderId="0" xfId="16" applyNumberFormat="1" applyFont="1" applyFill="1" applyBorder="1" applyAlignment="1">
      <alignment horizontal="center" vertical="center"/>
    </xf>
    <xf numFmtId="165" fontId="12" fillId="0" borderId="0" xfId="15" applyFont="1" applyFill="1" applyBorder="1" applyAlignment="1">
      <alignment vertical="center"/>
    </xf>
    <xf numFmtId="0" fontId="83" fillId="0" borderId="0" xfId="3" applyFont="1" applyAlignment="1">
      <alignment horizontal="center" vertical="center"/>
    </xf>
    <xf numFmtId="165" fontId="12" fillId="0" borderId="0" xfId="7" applyNumberFormat="1" applyFont="1" applyAlignment="1">
      <alignment horizontal="left" vertical="center"/>
    </xf>
    <xf numFmtId="165" fontId="12" fillId="0" borderId="8" xfId="8" applyNumberFormat="1" applyFont="1" applyBorder="1"/>
    <xf numFmtId="165" fontId="12" fillId="0" borderId="8" xfId="0" applyNumberFormat="1" applyFont="1" applyBorder="1"/>
    <xf numFmtId="165" fontId="12" fillId="0" borderId="15" xfId="8" applyNumberFormat="1" applyFont="1" applyBorder="1"/>
    <xf numFmtId="166" fontId="8" fillId="0" borderId="6" xfId="1" applyNumberFormat="1" applyFont="1" applyFill="1" applyBorder="1" applyAlignment="1">
      <alignment horizontal="center"/>
    </xf>
    <xf numFmtId="166" fontId="8" fillId="0" borderId="10" xfId="1" applyNumberFormat="1" applyFont="1" applyFill="1" applyBorder="1" applyAlignment="1">
      <alignment horizontal="center"/>
    </xf>
    <xf numFmtId="166" fontId="8" fillId="0" borderId="14" xfId="1" applyNumberFormat="1" applyFont="1" applyFill="1" applyBorder="1" applyAlignment="1">
      <alignment horizontal="center"/>
    </xf>
    <xf numFmtId="0" fontId="6" fillId="0" borderId="2" xfId="4" applyFont="1" applyBorder="1" applyAlignment="1">
      <alignment horizontal="center"/>
    </xf>
    <xf numFmtId="166" fontId="6" fillId="0" borderId="10" xfId="1" applyNumberFormat="1" applyFont="1" applyFill="1" applyBorder="1" applyAlignment="1"/>
    <xf numFmtId="166" fontId="8" fillId="0" borderId="10" xfId="1" applyNumberFormat="1" applyFont="1" applyFill="1" applyBorder="1" applyAlignment="1"/>
    <xf numFmtId="165" fontId="8" fillId="0" borderId="0" xfId="1" applyFont="1" applyFill="1" applyBorder="1" applyAlignment="1"/>
    <xf numFmtId="0" fontId="6" fillId="0" borderId="7" xfId="4" applyFont="1" applyBorder="1" applyAlignment="1">
      <alignment horizontal="right"/>
    </xf>
    <xf numFmtId="165" fontId="6" fillId="0" borderId="0" xfId="1" applyFont="1" applyFill="1" applyBorder="1" applyAlignment="1"/>
    <xf numFmtId="165" fontId="6" fillId="0" borderId="8" xfId="4" applyNumberFormat="1" applyFont="1" applyBorder="1" applyAlignment="1">
      <alignment horizontal="center"/>
    </xf>
    <xf numFmtId="166" fontId="8" fillId="0" borderId="9" xfId="1" applyNumberFormat="1" applyFont="1" applyFill="1" applyBorder="1" applyAlignment="1">
      <alignment horizontal="right"/>
    </xf>
    <xf numFmtId="0" fontId="12" fillId="0" borderId="7" xfId="0" applyFont="1" applyBorder="1"/>
    <xf numFmtId="165" fontId="12" fillId="0" borderId="0" xfId="1" applyFont="1" applyBorder="1"/>
    <xf numFmtId="0" fontId="0" fillId="0" borderId="11" xfId="0" applyBorder="1"/>
    <xf numFmtId="0" fontId="0" fillId="0" borderId="1" xfId="0" applyBorder="1"/>
    <xf numFmtId="0" fontId="6" fillId="0" borderId="12" xfId="4" applyFont="1" applyBorder="1" applyAlignment="1">
      <alignment horizontal="center"/>
    </xf>
    <xf numFmtId="165" fontId="8" fillId="0" borderId="13" xfId="5" applyFont="1" applyFill="1" applyBorder="1" applyAlignment="1"/>
    <xf numFmtId="166" fontId="11" fillId="0" borderId="13" xfId="1" applyNumberFormat="1" applyFont="1" applyFill="1" applyBorder="1" applyAlignment="1"/>
    <xf numFmtId="166" fontId="8" fillId="0" borderId="14" xfId="1" applyNumberFormat="1" applyFont="1" applyFill="1" applyBorder="1" applyAlignment="1"/>
    <xf numFmtId="0" fontId="0" fillId="0" borderId="24" xfId="0" applyBorder="1"/>
    <xf numFmtId="0" fontId="0" fillId="0" borderId="25" xfId="0" applyBorder="1"/>
    <xf numFmtId="0" fontId="14" fillId="0" borderId="25" xfId="0" applyFont="1" applyBorder="1"/>
    <xf numFmtId="166" fontId="14" fillId="0" borderId="26" xfId="1" applyNumberFormat="1" applyFont="1" applyBorder="1"/>
    <xf numFmtId="166" fontId="0" fillId="0" borderId="0" xfId="1" applyNumberFormat="1" applyFont="1"/>
    <xf numFmtId="165" fontId="0" fillId="0" borderId="0" xfId="0" applyNumberFormat="1"/>
    <xf numFmtId="0" fontId="14" fillId="0" borderId="0" xfId="17" applyFont="1"/>
    <xf numFmtId="0" fontId="71" fillId="0" borderId="0" xfId="18" applyFont="1"/>
    <xf numFmtId="0" fontId="14" fillId="0" borderId="0" xfId="17" applyFont="1" applyAlignment="1">
      <alignment horizontal="left"/>
    </xf>
    <xf numFmtId="0" fontId="12" fillId="0" borderId="1" xfId="3" applyFont="1" applyBorder="1" applyAlignment="1">
      <alignment horizontal="center"/>
    </xf>
    <xf numFmtId="166" fontId="12" fillId="0" borderId="0" xfId="19" applyNumberFormat="1" applyFont="1" applyFill="1" applyAlignment="1"/>
    <xf numFmtId="0" fontId="15" fillId="0" borderId="8" xfId="17" applyFont="1" applyBorder="1"/>
    <xf numFmtId="165" fontId="12" fillId="0" borderId="8" xfId="17" applyNumberFormat="1" applyFont="1" applyBorder="1"/>
    <xf numFmtId="166" fontId="14" fillId="0" borderId="16" xfId="19" applyNumberFormat="1" applyFont="1" applyBorder="1" applyAlignment="1"/>
    <xf numFmtId="166" fontId="34" fillId="0" borderId="0" xfId="1" applyNumberFormat="1" applyFont="1" applyFill="1" applyBorder="1" applyAlignment="1">
      <alignment vertical="center"/>
    </xf>
    <xf numFmtId="0" fontId="84" fillId="0" borderId="0" xfId="3" applyFont="1" applyAlignment="1"/>
    <xf numFmtId="0" fontId="84" fillId="0" borderId="0" xfId="3" applyFont="1" applyAlignment="1">
      <alignment horizontal="center"/>
    </xf>
    <xf numFmtId="166" fontId="84" fillId="0" borderId="0" xfId="1" applyNumberFormat="1" applyFont="1" applyBorder="1" applyAlignment="1"/>
    <xf numFmtId="0" fontId="84" fillId="0" borderId="0" xfId="3" applyFont="1" applyAlignment="1">
      <alignment horizontal="left"/>
    </xf>
    <xf numFmtId="0" fontId="85" fillId="0" borderId="0" xfId="3" applyFont="1" applyAlignment="1">
      <alignment horizontal="center" vertical="center"/>
    </xf>
    <xf numFmtId="0" fontId="8" fillId="0" borderId="27" xfId="3" applyFont="1" applyBorder="1" applyAlignment="1">
      <alignment horizontal="center" vertical="center"/>
    </xf>
    <xf numFmtId="0" fontId="8" fillId="0" borderId="4" xfId="3" applyFont="1" applyBorder="1">
      <alignment vertical="center"/>
    </xf>
    <xf numFmtId="0" fontId="8" fillId="0" borderId="3" xfId="3" applyFont="1" applyBorder="1">
      <alignment vertical="center"/>
    </xf>
    <xf numFmtId="0" fontId="8" fillId="0" borderId="53" xfId="3" applyFont="1" applyBorder="1">
      <alignment vertical="center"/>
    </xf>
    <xf numFmtId="0" fontId="8" fillId="0" borderId="3" xfId="3" applyFont="1" applyBorder="1" applyAlignment="1">
      <alignment horizontal="center" vertical="center"/>
    </xf>
    <xf numFmtId="0" fontId="8" fillId="0" borderId="5" xfId="3" applyFont="1" applyBorder="1">
      <alignment vertical="center"/>
    </xf>
    <xf numFmtId="166" fontId="8" fillId="0" borderId="28" xfId="1" applyNumberFormat="1" applyFont="1" applyFill="1" applyBorder="1" applyAlignment="1">
      <alignment vertical="center"/>
    </xf>
    <xf numFmtId="0" fontId="85" fillId="0" borderId="0" xfId="3" applyFont="1">
      <alignment vertical="center"/>
    </xf>
    <xf numFmtId="169" fontId="6" fillId="0" borderId="9" xfId="3" applyNumberFormat="1" applyFont="1" applyBorder="1">
      <alignment vertical="center"/>
    </xf>
    <xf numFmtId="166" fontId="6" fillId="0" borderId="54" xfId="3" applyNumberFormat="1" applyFont="1" applyBorder="1">
      <alignment vertical="center"/>
    </xf>
    <xf numFmtId="166" fontId="6" fillId="0" borderId="16" xfId="1" applyNumberFormat="1" applyFont="1" applyFill="1" applyBorder="1" applyAlignment="1">
      <alignment vertical="center"/>
    </xf>
    <xf numFmtId="166" fontId="8" fillId="0" borderId="16" xfId="1" applyNumberFormat="1" applyFont="1" applyFill="1" applyBorder="1" applyAlignment="1">
      <alignment vertical="center"/>
    </xf>
    <xf numFmtId="0" fontId="6" fillId="0" borderId="29" xfId="3" applyFont="1" applyBorder="1" applyAlignment="1">
      <alignment horizontal="right" vertical="center"/>
    </xf>
    <xf numFmtId="0" fontId="34" fillId="7" borderId="0" xfId="3" applyFont="1" applyFill="1">
      <alignment vertical="center"/>
    </xf>
    <xf numFmtId="0" fontId="34" fillId="10" borderId="0" xfId="3" applyFont="1" applyFill="1">
      <alignment vertical="center"/>
    </xf>
    <xf numFmtId="166" fontId="34" fillId="0" borderId="0" xfId="3" applyNumberFormat="1" applyFont="1">
      <alignment vertical="center"/>
    </xf>
    <xf numFmtId="0" fontId="6" fillId="0" borderId="59" xfId="3" applyFont="1" applyBorder="1">
      <alignment vertical="center"/>
    </xf>
    <xf numFmtId="0" fontId="6" fillId="0" borderId="60" xfId="3" applyFont="1" applyBorder="1">
      <alignment vertical="center"/>
    </xf>
    <xf numFmtId="0" fontId="6" fillId="0" borderId="61" xfId="3" applyFont="1" applyBorder="1">
      <alignment vertical="center"/>
    </xf>
    <xf numFmtId="0" fontId="6" fillId="0" borderId="62" xfId="3" applyFont="1" applyBorder="1">
      <alignment vertical="center"/>
    </xf>
    <xf numFmtId="0" fontId="6" fillId="0" borderId="61" xfId="3" applyFont="1" applyBorder="1" applyAlignment="1">
      <alignment horizontal="center" vertical="center"/>
    </xf>
    <xf numFmtId="0" fontId="6" fillId="0" borderId="44" xfId="3" applyFont="1" applyBorder="1">
      <alignment vertical="center"/>
    </xf>
    <xf numFmtId="166" fontId="6" fillId="0" borderId="63" xfId="1" applyNumberFormat="1" applyFont="1" applyFill="1" applyBorder="1" applyAlignment="1">
      <alignment vertical="center"/>
    </xf>
    <xf numFmtId="0" fontId="1" fillId="0" borderId="24" xfId="18" applyBorder="1"/>
    <xf numFmtId="0" fontId="1" fillId="0" borderId="25" xfId="18" applyBorder="1"/>
    <xf numFmtId="0" fontId="14" fillId="0" borderId="25" xfId="18" applyFont="1" applyBorder="1"/>
    <xf numFmtId="166" fontId="14" fillId="0" borderId="26" xfId="20" applyNumberFormat="1" applyFont="1" applyBorder="1"/>
    <xf numFmtId="166" fontId="6" fillId="0" borderId="0" xfId="1" applyNumberFormat="1" applyFont="1" applyFill="1" applyBorder="1" applyAlignment="1">
      <alignment vertical="center"/>
    </xf>
    <xf numFmtId="0" fontId="7" fillId="0" borderId="0" xfId="18" applyFont="1"/>
    <xf numFmtId="166" fontId="4" fillId="0" borderId="0" xfId="20" applyNumberFormat="1" applyFont="1" applyFill="1" applyAlignment="1"/>
    <xf numFmtId="0" fontId="1" fillId="0" borderId="0" xfId="18"/>
    <xf numFmtId="0" fontId="7" fillId="0" borderId="0" xfId="18" applyFont="1" applyAlignment="1">
      <alignment horizontal="left"/>
    </xf>
    <xf numFmtId="166" fontId="8" fillId="0" borderId="5" xfId="20" applyNumberFormat="1" applyFont="1" applyFill="1" applyBorder="1" applyAlignment="1">
      <alignment horizontal="center"/>
    </xf>
    <xf numFmtId="166" fontId="8" fillId="0" borderId="6" xfId="20" applyNumberFormat="1" applyFont="1" applyFill="1" applyBorder="1" applyAlignment="1">
      <alignment horizontal="center"/>
    </xf>
    <xf numFmtId="166" fontId="8" fillId="0" borderId="9" xfId="20" applyNumberFormat="1" applyFont="1" applyFill="1" applyBorder="1" applyAlignment="1">
      <alignment horizontal="center"/>
    </xf>
    <xf numFmtId="166" fontId="8" fillId="0" borderId="10" xfId="20" applyNumberFormat="1" applyFont="1" applyFill="1" applyBorder="1" applyAlignment="1">
      <alignment horizontal="center"/>
    </xf>
    <xf numFmtId="166" fontId="8" fillId="0" borderId="13" xfId="20" applyNumberFormat="1" applyFont="1" applyFill="1" applyBorder="1" applyAlignment="1">
      <alignment horizontal="center"/>
    </xf>
    <xf numFmtId="166" fontId="8" fillId="0" borderId="14" xfId="20" applyNumberFormat="1" applyFont="1" applyFill="1" applyBorder="1" applyAlignment="1">
      <alignment horizontal="center"/>
    </xf>
    <xf numFmtId="166" fontId="10" fillId="0" borderId="9" xfId="20" applyNumberFormat="1" applyFont="1" applyFill="1" applyBorder="1" applyAlignment="1"/>
    <xf numFmtId="166" fontId="6" fillId="0" borderId="10" xfId="20" applyNumberFormat="1" applyFont="1" applyFill="1" applyBorder="1" applyAlignment="1"/>
    <xf numFmtId="166" fontId="11" fillId="0" borderId="9" xfId="20" applyNumberFormat="1" applyFont="1" applyFill="1" applyBorder="1" applyAlignment="1"/>
    <xf numFmtId="166" fontId="8" fillId="0" borderId="10" xfId="20" applyNumberFormat="1" applyFont="1" applyFill="1" applyBorder="1" applyAlignment="1"/>
    <xf numFmtId="165" fontId="8" fillId="0" borderId="0" xfId="20" applyFont="1" applyFill="1" applyBorder="1" applyAlignment="1"/>
    <xf numFmtId="165" fontId="6" fillId="0" borderId="0" xfId="20" applyFont="1" applyFill="1" applyBorder="1" applyAlignment="1"/>
    <xf numFmtId="166" fontId="6" fillId="0" borderId="9" xfId="20" applyNumberFormat="1" applyFont="1" applyFill="1" applyBorder="1" applyAlignment="1"/>
    <xf numFmtId="166" fontId="8" fillId="0" borderId="9" xfId="20" applyNumberFormat="1" applyFont="1" applyFill="1" applyBorder="1" applyAlignment="1">
      <alignment horizontal="right"/>
    </xf>
    <xf numFmtId="0" fontId="12" fillId="0" borderId="7" xfId="18" applyFont="1" applyBorder="1"/>
    <xf numFmtId="165" fontId="12" fillId="0" borderId="0" xfId="20" applyFont="1" applyBorder="1"/>
    <xf numFmtId="166" fontId="6" fillId="0" borderId="9" xfId="20" applyNumberFormat="1" applyFont="1" applyFill="1" applyBorder="1" applyAlignment="1">
      <alignment horizontal="right"/>
    </xf>
    <xf numFmtId="0" fontId="1" fillId="0" borderId="11" xfId="18" applyBorder="1"/>
    <xf numFmtId="0" fontId="1" fillId="0" borderId="1" xfId="18" applyBorder="1"/>
    <xf numFmtId="166" fontId="11" fillId="0" borderId="13" xfId="20" applyNumberFormat="1" applyFont="1" applyFill="1" applyBorder="1" applyAlignment="1"/>
    <xf numFmtId="166" fontId="8" fillId="0" borderId="14" xfId="20" applyNumberFormat="1" applyFont="1" applyFill="1" applyBorder="1" applyAlignment="1"/>
    <xf numFmtId="166" fontId="0" fillId="0" borderId="0" xfId="20" applyNumberFormat="1" applyFont="1"/>
    <xf numFmtId="165" fontId="1" fillId="0" borderId="0" xfId="18" applyNumberFormat="1"/>
    <xf numFmtId="0" fontId="12" fillId="0" borderId="0" xfId="4" applyFont="1" applyAlignment="1">
      <alignment horizontal="center"/>
    </xf>
    <xf numFmtId="166" fontId="14" fillId="0" borderId="16" xfId="1" applyNumberFormat="1" applyFont="1" applyFill="1" applyBorder="1" applyAlignment="1"/>
    <xf numFmtId="164" fontId="0" fillId="6" borderId="0" xfId="13" quotePrefix="1" applyNumberFormat="1" applyFont="1" applyFill="1" applyAlignment="1">
      <alignment horizontal="right"/>
    </xf>
    <xf numFmtId="0" fontId="86" fillId="0" borderId="0" xfId="3" applyFont="1" applyAlignment="1">
      <alignment horizontal="center" vertical="center"/>
    </xf>
    <xf numFmtId="165" fontId="34" fillId="0" borderId="0" xfId="15" applyFont="1" applyFill="1" applyAlignment="1">
      <alignment vertical="center"/>
    </xf>
    <xf numFmtId="0" fontId="87" fillId="0" borderId="0" xfId="16" applyNumberFormat="1" applyFont="1" applyFill="1" applyAlignment="1">
      <alignment horizontal="center" vertical="center"/>
    </xf>
    <xf numFmtId="174" fontId="34" fillId="0" borderId="0" xfId="3" applyNumberFormat="1" applyFont="1">
      <alignment vertical="center"/>
    </xf>
    <xf numFmtId="166" fontId="34" fillId="0" borderId="0" xfId="6" applyNumberFormat="1" applyFont="1" applyFill="1" applyBorder="1" applyAlignment="1">
      <alignment vertical="center"/>
    </xf>
    <xf numFmtId="166" fontId="34" fillId="0" borderId="0" xfId="15" applyNumberFormat="1" applyFont="1" applyFill="1" applyBorder="1" applyAlignment="1">
      <alignment horizontal="right" vertical="center"/>
    </xf>
    <xf numFmtId="169" fontId="34" fillId="0" borderId="0" xfId="6" applyNumberFormat="1" applyFont="1" applyFill="1" applyBorder="1" applyAlignment="1">
      <alignment horizontal="right" vertical="center"/>
    </xf>
    <xf numFmtId="174" fontId="34" fillId="0" borderId="48" xfId="3" applyNumberFormat="1" applyFont="1" applyBorder="1">
      <alignment vertical="center"/>
    </xf>
    <xf numFmtId="166" fontId="34" fillId="0" borderId="64" xfId="6" applyNumberFormat="1" applyFont="1" applyFill="1" applyBorder="1" applyAlignment="1">
      <alignment vertical="center"/>
    </xf>
    <xf numFmtId="166" fontId="34" fillId="0" borderId="64" xfId="15" applyNumberFormat="1" applyFont="1" applyFill="1" applyBorder="1" applyAlignment="1">
      <alignment horizontal="right" vertical="center"/>
    </xf>
    <xf numFmtId="169" fontId="34" fillId="0" borderId="64" xfId="6" applyNumberFormat="1" applyFont="1" applyFill="1" applyBorder="1" applyAlignment="1">
      <alignment horizontal="right" vertical="center"/>
    </xf>
    <xf numFmtId="0" fontId="34" fillId="0" borderId="64" xfId="3" applyFont="1" applyBorder="1" applyAlignment="1">
      <alignment horizontal="center" vertical="center"/>
    </xf>
    <xf numFmtId="0" fontId="34" fillId="0" borderId="64" xfId="3" applyFont="1" applyBorder="1">
      <alignment vertical="center"/>
    </xf>
    <xf numFmtId="166" fontId="34" fillId="0" borderId="48" xfId="6" applyNumberFormat="1" applyFont="1" applyFill="1" applyBorder="1" applyAlignment="1">
      <alignment vertical="center"/>
    </xf>
    <xf numFmtId="166" fontId="34" fillId="0" borderId="48" xfId="15" applyNumberFormat="1" applyFont="1" applyFill="1" applyBorder="1" applyAlignment="1">
      <alignment horizontal="right" vertical="center"/>
    </xf>
    <xf numFmtId="169" fontId="34" fillId="0" borderId="48" xfId="6" applyNumberFormat="1" applyFont="1" applyFill="1" applyBorder="1" applyAlignment="1">
      <alignment horizontal="right" vertical="center"/>
    </xf>
    <xf numFmtId="0" fontId="34" fillId="0" borderId="48" xfId="3" applyFont="1" applyBorder="1" applyAlignment="1">
      <alignment horizontal="center" vertical="center"/>
    </xf>
    <xf numFmtId="166" fontId="34" fillId="0" borderId="65" xfId="6" applyNumberFormat="1" applyFont="1" applyFill="1" applyBorder="1" applyAlignment="1">
      <alignment vertical="center"/>
    </xf>
    <xf numFmtId="166" fontId="34" fillId="0" borderId="65" xfId="15" applyNumberFormat="1" applyFont="1" applyFill="1" applyBorder="1" applyAlignment="1">
      <alignment horizontal="right" vertical="center"/>
    </xf>
    <xf numFmtId="169" fontId="34" fillId="0" borderId="65" xfId="6" applyNumberFormat="1" applyFont="1" applyFill="1" applyBorder="1" applyAlignment="1">
      <alignment horizontal="right" vertical="center"/>
    </xf>
    <xf numFmtId="0" fontId="34" fillId="0" borderId="65" xfId="3" applyFont="1" applyBorder="1" applyAlignment="1">
      <alignment horizontal="center" vertical="center"/>
    </xf>
    <xf numFmtId="0" fontId="34" fillId="0" borderId="65" xfId="3" applyFont="1" applyBorder="1">
      <alignment vertical="center"/>
    </xf>
    <xf numFmtId="166" fontId="85" fillId="0" borderId="64" xfId="6" applyNumberFormat="1" applyFont="1" applyFill="1" applyBorder="1" applyAlignment="1">
      <alignment vertical="center"/>
    </xf>
    <xf numFmtId="166" fontId="85" fillId="0" borderId="48" xfId="6" applyNumberFormat="1" applyFont="1" applyFill="1" applyBorder="1" applyAlignment="1">
      <alignment vertical="center"/>
    </xf>
    <xf numFmtId="9" fontId="34" fillId="0" borderId="48" xfId="16" applyFont="1" applyFill="1" applyBorder="1" applyAlignment="1">
      <alignment vertical="center"/>
    </xf>
    <xf numFmtId="166" fontId="85" fillId="0" borderId="65" xfId="6" applyNumberFormat="1" applyFont="1" applyFill="1" applyBorder="1" applyAlignment="1">
      <alignment vertical="center"/>
    </xf>
    <xf numFmtId="166" fontId="34" fillId="0" borderId="65" xfId="15" applyNumberFormat="1" applyFont="1" applyFill="1" applyBorder="1" applyAlignment="1">
      <alignment horizontal="center" vertical="center"/>
    </xf>
    <xf numFmtId="169" fontId="34" fillId="0" borderId="65" xfId="6" applyNumberFormat="1" applyFont="1" applyFill="1" applyBorder="1" applyAlignment="1">
      <alignment horizontal="center" vertical="center"/>
    </xf>
    <xf numFmtId="175" fontId="85" fillId="0" borderId="48" xfId="16" applyNumberFormat="1" applyFont="1" applyFill="1" applyBorder="1" applyAlignment="1">
      <alignment vertical="center"/>
    </xf>
    <xf numFmtId="166" fontId="85" fillId="0" borderId="40" xfId="3" applyNumberFormat="1" applyFont="1" applyBorder="1" applyAlignment="1">
      <alignment horizontal="center" vertical="center"/>
    </xf>
    <xf numFmtId="166" fontId="34" fillId="0" borderId="47" xfId="15" applyNumberFormat="1" applyFont="1" applyFill="1" applyBorder="1" applyAlignment="1">
      <alignment horizontal="center" vertical="center"/>
    </xf>
    <xf numFmtId="169" fontId="34" fillId="0" borderId="66" xfId="6" applyNumberFormat="1" applyFont="1" applyFill="1" applyBorder="1" applyAlignment="1">
      <alignment horizontal="center" vertical="center"/>
    </xf>
    <xf numFmtId="0" fontId="34" fillId="0" borderId="66" xfId="3" applyFont="1" applyBorder="1" applyAlignment="1">
      <alignment horizontal="center" vertical="center"/>
    </xf>
    <xf numFmtId="0" fontId="85" fillId="0" borderId="66" xfId="3" applyFont="1" applyBorder="1" applyAlignment="1">
      <alignment horizontal="center" vertical="center"/>
    </xf>
    <xf numFmtId="0" fontId="34" fillId="0" borderId="66" xfId="3" applyFont="1" applyBorder="1">
      <alignment vertical="center"/>
    </xf>
    <xf numFmtId="0" fontId="34" fillId="0" borderId="67" xfId="3" applyFont="1" applyBorder="1" applyAlignment="1">
      <alignment horizontal="center" vertical="center"/>
    </xf>
    <xf numFmtId="175" fontId="34" fillId="0" borderId="48" xfId="16" applyNumberFormat="1" applyFont="1" applyFill="1" applyBorder="1" applyAlignment="1">
      <alignment vertical="center"/>
    </xf>
    <xf numFmtId="166" fontId="34" fillId="0" borderId="48" xfId="3" applyNumberFormat="1" applyFont="1" applyBorder="1" applyAlignment="1">
      <alignment horizontal="center" vertical="center"/>
    </xf>
    <xf numFmtId="166" fontId="34" fillId="0" borderId="51" xfId="15" applyNumberFormat="1" applyFont="1" applyFill="1" applyBorder="1" applyAlignment="1">
      <alignment horizontal="center" vertical="center"/>
    </xf>
    <xf numFmtId="169" fontId="34" fillId="0" borderId="51" xfId="6" applyNumberFormat="1" applyFont="1" applyFill="1" applyBorder="1" applyAlignment="1">
      <alignment horizontal="center" vertical="center"/>
    </xf>
    <xf numFmtId="0" fontId="34" fillId="0" borderId="51" xfId="3" applyFont="1" applyBorder="1" applyAlignment="1">
      <alignment horizontal="center" vertical="center"/>
    </xf>
    <xf numFmtId="0" fontId="34" fillId="0" borderId="51" xfId="3" applyFont="1" applyBorder="1">
      <alignment vertical="center"/>
    </xf>
    <xf numFmtId="166" fontId="34" fillId="0" borderId="48" xfId="15" applyNumberFormat="1" applyFont="1" applyFill="1" applyBorder="1" applyAlignment="1">
      <alignment horizontal="center" vertical="center"/>
    </xf>
    <xf numFmtId="166" fontId="34" fillId="0" borderId="49" xfId="3" applyNumberFormat="1" applyFont="1" applyBorder="1" applyAlignment="1">
      <alignment horizontal="center" vertical="center"/>
    </xf>
    <xf numFmtId="166" fontId="34" fillId="0" borderId="49" xfId="15" applyNumberFormat="1" applyFont="1" applyFill="1" applyBorder="1" applyAlignment="1">
      <alignment horizontal="center" vertical="center"/>
    </xf>
    <xf numFmtId="169" fontId="88" fillId="0" borderId="49" xfId="6" applyNumberFormat="1" applyFont="1" applyFill="1" applyBorder="1" applyAlignment="1">
      <alignment horizontal="center" vertical="center"/>
    </xf>
    <xf numFmtId="0" fontId="34" fillId="0" borderId="49" xfId="3" applyFont="1" applyBorder="1" applyAlignment="1">
      <alignment horizontal="center" vertical="center"/>
    </xf>
    <xf numFmtId="0" fontId="34" fillId="0" borderId="49" xfId="3" applyFont="1" applyBorder="1">
      <alignment vertical="center"/>
    </xf>
    <xf numFmtId="0" fontId="85" fillId="0" borderId="49" xfId="3" applyFont="1" applyBorder="1">
      <alignment vertical="center"/>
    </xf>
    <xf numFmtId="0" fontId="85" fillId="0" borderId="49" xfId="3" applyFont="1" applyBorder="1" applyAlignment="1">
      <alignment horizontal="center" vertical="center"/>
    </xf>
    <xf numFmtId="0" fontId="88" fillId="0" borderId="66" xfId="3" applyFont="1" applyBorder="1" applyAlignment="1">
      <alignment horizontal="center" vertical="center"/>
    </xf>
    <xf numFmtId="166" fontId="34" fillId="0" borderId="51" xfId="3" applyNumberFormat="1" applyFont="1" applyBorder="1" applyAlignment="1">
      <alignment horizontal="center" vertical="center"/>
    </xf>
    <xf numFmtId="169" fontId="88" fillId="0" borderId="51" xfId="6" applyNumberFormat="1" applyFont="1" applyFill="1" applyBorder="1" applyAlignment="1">
      <alignment horizontal="center" vertical="center"/>
    </xf>
    <xf numFmtId="169" fontId="88" fillId="0" borderId="48" xfId="6" applyNumberFormat="1" applyFont="1" applyFill="1" applyBorder="1" applyAlignment="1">
      <alignment horizontal="center" vertical="center"/>
    </xf>
    <xf numFmtId="169" fontId="88" fillId="0" borderId="66" xfId="6" applyNumberFormat="1" applyFont="1" applyFill="1" applyBorder="1" applyAlignment="1">
      <alignment horizontal="center" vertical="center"/>
    </xf>
    <xf numFmtId="0" fontId="34" fillId="7" borderId="51" xfId="3" applyFont="1" applyFill="1" applyBorder="1" applyAlignment="1">
      <alignment horizontal="center" vertical="center"/>
    </xf>
    <xf numFmtId="0" fontId="34" fillId="7" borderId="48" xfId="3" applyFont="1" applyFill="1" applyBorder="1" applyAlignment="1">
      <alignment horizontal="center" vertical="center"/>
    </xf>
    <xf numFmtId="176" fontId="34" fillId="0" borderId="0" xfId="3" applyNumberFormat="1" applyFont="1">
      <alignment vertical="center"/>
    </xf>
    <xf numFmtId="164" fontId="34" fillId="0" borderId="0" xfId="6" applyFont="1" applyFill="1" applyBorder="1" applyAlignment="1">
      <alignment horizontal="center" vertical="center"/>
    </xf>
    <xf numFmtId="177" fontId="34" fillId="0" borderId="0" xfId="15" applyNumberFormat="1" applyFont="1" applyFill="1" applyBorder="1" applyAlignment="1">
      <alignment vertical="center"/>
    </xf>
    <xf numFmtId="0" fontId="34" fillId="7" borderId="48" xfId="3" applyFont="1" applyFill="1" applyBorder="1">
      <alignment vertical="center"/>
    </xf>
    <xf numFmtId="0" fontId="85" fillId="0" borderId="48" xfId="3" applyFont="1" applyBorder="1">
      <alignment vertical="center"/>
    </xf>
    <xf numFmtId="0" fontId="90" fillId="0" borderId="48" xfId="3" applyFont="1" applyBorder="1" applyAlignment="1">
      <alignment horizontal="center" vertical="center"/>
    </xf>
    <xf numFmtId="166" fontId="85" fillId="0" borderId="49" xfId="3" applyNumberFormat="1" applyFont="1" applyBorder="1" applyAlignment="1">
      <alignment horizontal="center" vertical="center"/>
    </xf>
    <xf numFmtId="0" fontId="85" fillId="0" borderId="48" xfId="3" applyFont="1" applyBorder="1" applyAlignment="1">
      <alignment horizontal="center" vertical="center"/>
    </xf>
    <xf numFmtId="0" fontId="91" fillId="0" borderId="49" xfId="3" applyFont="1" applyBorder="1" applyAlignment="1">
      <alignment horizontal="center" vertical="center"/>
    </xf>
    <xf numFmtId="0" fontId="34" fillId="0" borderId="48" xfId="3" applyFont="1" applyBorder="1" applyAlignment="1">
      <alignment horizontal="right" vertical="center"/>
    </xf>
    <xf numFmtId="169" fontId="34" fillId="7" borderId="48" xfId="6" applyNumberFormat="1" applyFont="1" applyFill="1" applyBorder="1" applyAlignment="1">
      <alignment horizontal="center" vertical="center"/>
    </xf>
    <xf numFmtId="166" fontId="34" fillId="0" borderId="9" xfId="3" applyNumberFormat="1" applyFont="1" applyBorder="1" applyAlignment="1">
      <alignment horizontal="center" vertical="center"/>
    </xf>
    <xf numFmtId="0" fontId="88" fillId="0" borderId="0" xfId="3" applyFont="1">
      <alignment vertical="center"/>
    </xf>
    <xf numFmtId="0" fontId="85" fillId="0" borderId="51" xfId="3" applyFont="1" applyBorder="1" applyAlignment="1">
      <alignment horizontal="center" vertical="center"/>
    </xf>
    <xf numFmtId="166" fontId="34" fillId="0" borderId="66" xfId="15" applyNumberFormat="1" applyFont="1" applyFill="1" applyBorder="1" applyAlignment="1">
      <alignment horizontal="center" vertical="center"/>
    </xf>
    <xf numFmtId="0" fontId="85" fillId="0" borderId="66" xfId="3" applyFont="1" applyBorder="1" applyAlignment="1">
      <alignment horizontal="right" vertical="center"/>
    </xf>
    <xf numFmtId="165" fontId="34" fillId="0" borderId="0" xfId="3" applyNumberFormat="1" applyFont="1">
      <alignment vertical="center"/>
    </xf>
    <xf numFmtId="169" fontId="34" fillId="0" borderId="49" xfId="6" applyNumberFormat="1" applyFont="1" applyFill="1" applyBorder="1" applyAlignment="1">
      <alignment horizontal="center" vertical="center"/>
    </xf>
    <xf numFmtId="166" fontId="34" fillId="0" borderId="54" xfId="15" applyNumberFormat="1" applyFont="1" applyFill="1" applyBorder="1" applyAlignment="1">
      <alignment horizontal="center" vertical="center"/>
    </xf>
    <xf numFmtId="169" fontId="34" fillId="0" borderId="61" xfId="6" applyNumberFormat="1" applyFont="1" applyFill="1" applyBorder="1" applyAlignment="1">
      <alignment horizontal="center" vertical="center"/>
    </xf>
    <xf numFmtId="0" fontId="34" fillId="0" borderId="61" xfId="3" applyFont="1" applyBorder="1" applyAlignment="1">
      <alignment horizontal="center" vertical="center"/>
    </xf>
    <xf numFmtId="0" fontId="34" fillId="0" borderId="61" xfId="3" applyFont="1" applyBorder="1">
      <alignment vertical="center"/>
    </xf>
    <xf numFmtId="0" fontId="34" fillId="7" borderId="8" xfId="3" applyFont="1" applyFill="1" applyBorder="1" applyAlignment="1">
      <alignment horizontal="center" vertical="center"/>
    </xf>
    <xf numFmtId="169" fontId="34" fillId="0" borderId="64" xfId="6" applyNumberFormat="1" applyFont="1" applyFill="1" applyBorder="1" applyAlignment="1">
      <alignment horizontal="center" vertical="center"/>
    </xf>
    <xf numFmtId="174" fontId="34" fillId="0" borderId="49" xfId="3" applyNumberFormat="1" applyFont="1" applyBorder="1" applyAlignment="1">
      <alignment horizontal="center" vertical="center"/>
    </xf>
    <xf numFmtId="0" fontId="85" fillId="0" borderId="44" xfId="3" applyFont="1" applyBorder="1" applyAlignment="1">
      <alignment horizontal="center" vertical="center"/>
    </xf>
    <xf numFmtId="0" fontId="85" fillId="0" borderId="43" xfId="3" applyFont="1" applyBorder="1" applyAlignment="1">
      <alignment horizontal="center" vertical="center"/>
    </xf>
    <xf numFmtId="0" fontId="85" fillId="0" borderId="0" xfId="3" applyFont="1" applyAlignment="1">
      <alignment horizontal="right" vertical="center"/>
    </xf>
    <xf numFmtId="166" fontId="85" fillId="0" borderId="0" xfId="15" applyNumberFormat="1" applyFont="1" applyFill="1" applyAlignment="1">
      <alignment horizontal="center" vertical="center"/>
    </xf>
    <xf numFmtId="0" fontId="61" fillId="8" borderId="49" xfId="3" applyFont="1" applyFill="1" applyBorder="1" applyAlignment="1"/>
    <xf numFmtId="166" fontId="6" fillId="0" borderId="40" xfId="15" applyNumberFormat="1" applyFont="1" applyFill="1" applyBorder="1" applyAlignment="1"/>
    <xf numFmtId="165" fontId="6" fillId="0" borderId="40" xfId="15" applyFont="1" applyFill="1" applyBorder="1" applyAlignment="1"/>
    <xf numFmtId="169" fontId="30" fillId="7" borderId="0" xfId="13" applyNumberFormat="1" applyFont="1" applyFill="1" applyBorder="1" applyAlignment="1"/>
    <xf numFmtId="169" fontId="3" fillId="0" borderId="0" xfId="3" applyNumberFormat="1" applyAlignment="1"/>
    <xf numFmtId="0" fontId="30" fillId="0" borderId="0" xfId="3" applyFont="1" applyAlignment="1"/>
    <xf numFmtId="2" fontId="8" fillId="0" borderId="0" xfId="3" applyNumberFormat="1" applyFont="1" applyAlignment="1">
      <alignment horizontal="center"/>
    </xf>
    <xf numFmtId="169" fontId="38" fillId="0" borderId="0" xfId="13" applyNumberFormat="1" applyFont="1" applyAlignment="1">
      <alignment horizontal="right"/>
    </xf>
    <xf numFmtId="0" fontId="38" fillId="0" borderId="0" xfId="3" applyFont="1" applyAlignment="1">
      <alignment horizontal="center"/>
    </xf>
    <xf numFmtId="0" fontId="38" fillId="0" borderId="0" xfId="3" applyFont="1" applyAlignment="1"/>
    <xf numFmtId="0" fontId="3" fillId="0" borderId="0" xfId="3" applyAlignment="1">
      <alignment horizontal="right"/>
    </xf>
    <xf numFmtId="0" fontId="6" fillId="0" borderId="0" xfId="3" applyFont="1" applyBorder="1">
      <alignment vertical="center"/>
    </xf>
    <xf numFmtId="0" fontId="6" fillId="0" borderId="0" xfId="3" applyFont="1" applyBorder="1" applyAlignment="1">
      <alignment horizontal="center" vertical="center"/>
    </xf>
    <xf numFmtId="0" fontId="8" fillId="0" borderId="0" xfId="3" applyFont="1" applyBorder="1">
      <alignment vertical="center"/>
    </xf>
    <xf numFmtId="166" fontId="8" fillId="0" borderId="0" xfId="3" applyNumberFormat="1" applyFont="1" applyBorder="1" applyAlignment="1">
      <alignment horizontal="center" vertical="center"/>
    </xf>
    <xf numFmtId="166" fontId="6" fillId="0" borderId="0" xfId="3" applyNumberFormat="1" applyFont="1" applyBorder="1">
      <alignment vertical="center"/>
    </xf>
    <xf numFmtId="165" fontId="6" fillId="0" borderId="0" xfId="3" applyNumberFormat="1" applyFont="1" applyBorder="1">
      <alignment vertical="center"/>
    </xf>
    <xf numFmtId="0" fontId="6" fillId="7" borderId="0" xfId="3" applyFont="1" applyFill="1" applyBorder="1">
      <alignment vertical="center"/>
    </xf>
    <xf numFmtId="0" fontId="6" fillId="0" borderId="27" xfId="3" applyFont="1" applyBorder="1" applyAlignment="1">
      <alignment horizontal="center" vertical="center"/>
    </xf>
    <xf numFmtId="174" fontId="6" fillId="0" borderId="28" xfId="3" applyNumberFormat="1" applyFont="1" applyBorder="1" applyAlignment="1">
      <alignment horizontal="center" vertical="center"/>
    </xf>
    <xf numFmtId="0" fontId="6" fillId="0" borderId="31" xfId="3" applyFont="1" applyBorder="1">
      <alignment vertical="center"/>
    </xf>
    <xf numFmtId="166" fontId="6" fillId="0" borderId="53" xfId="15" applyNumberFormat="1" applyFont="1" applyFill="1" applyBorder="1" applyAlignment="1">
      <alignment horizontal="center" vertical="center"/>
    </xf>
    <xf numFmtId="166" fontId="6" fillId="0" borderId="54" xfId="15" applyNumberFormat="1" applyFont="1" applyFill="1" applyBorder="1" applyAlignment="1">
      <alignment horizontal="center" vertical="center"/>
    </xf>
    <xf numFmtId="166" fontId="6" fillId="0" borderId="54" xfId="15" applyNumberFormat="1" applyFont="1" applyFill="1" applyBorder="1" applyAlignment="1">
      <alignment vertical="center"/>
    </xf>
    <xf numFmtId="166" fontId="6" fillId="0" borderId="58" xfId="15" applyNumberFormat="1" applyFont="1" applyFill="1" applyBorder="1" applyAlignment="1">
      <alignment vertical="center"/>
    </xf>
    <xf numFmtId="0" fontId="67" fillId="0" borderId="9" xfId="3" applyFont="1" applyBorder="1">
      <alignment vertical="center"/>
    </xf>
    <xf numFmtId="0" fontId="67" fillId="0" borderId="9" xfId="3" applyFont="1" applyBorder="1" applyAlignment="1">
      <alignment horizontal="center" vertical="center"/>
    </xf>
    <xf numFmtId="0" fontId="6" fillId="0" borderId="13" xfId="3" applyFont="1" applyBorder="1" applyAlignment="1">
      <alignment horizontal="center" vertical="center"/>
    </xf>
    <xf numFmtId="0" fontId="6" fillId="0" borderId="13" xfId="3" applyFont="1" applyBorder="1">
      <alignment vertical="center"/>
    </xf>
    <xf numFmtId="166" fontId="8" fillId="0" borderId="54" xfId="15" applyNumberFormat="1" applyFont="1" applyFill="1" applyBorder="1" applyAlignment="1">
      <alignment horizontal="center" vertical="center"/>
    </xf>
    <xf numFmtId="0" fontId="6" fillId="0" borderId="20" xfId="3" applyFont="1" applyBorder="1" applyAlignment="1">
      <alignment horizontal="center" vertical="center"/>
    </xf>
    <xf numFmtId="166" fontId="8" fillId="0" borderId="56" xfId="15" applyNumberFormat="1" applyFont="1" applyFill="1" applyBorder="1" applyAlignment="1">
      <alignment horizontal="center" vertical="center"/>
    </xf>
    <xf numFmtId="166" fontId="14" fillId="0" borderId="16" xfId="5" applyNumberFormat="1" applyFont="1" applyFill="1" applyBorder="1" applyAlignment="1"/>
    <xf numFmtId="0" fontId="14" fillId="0" borderId="5" xfId="4" applyFont="1" applyBorder="1" applyAlignment="1">
      <alignment horizontal="center"/>
    </xf>
    <xf numFmtId="0" fontId="14" fillId="0" borderId="9" xfId="4" applyFont="1" applyBorder="1" applyAlignment="1">
      <alignment horizontal="center"/>
    </xf>
    <xf numFmtId="0" fontId="14" fillId="0" borderId="13" xfId="4" applyFont="1" applyBorder="1" applyAlignment="1">
      <alignment horizontal="center"/>
    </xf>
    <xf numFmtId="166" fontId="12" fillId="0" borderId="0" xfId="1" applyNumberFormat="1" applyFont="1"/>
    <xf numFmtId="174" fontId="6" fillId="0" borderId="0" xfId="3" applyNumberFormat="1" applyFont="1" applyBorder="1" applyAlignment="1">
      <alignment horizontal="center" vertical="center"/>
    </xf>
    <xf numFmtId="174" fontId="6" fillId="0" borderId="0" xfId="3" applyNumberFormat="1" applyFont="1" applyBorder="1">
      <alignment vertical="center"/>
    </xf>
    <xf numFmtId="175" fontId="6" fillId="0" borderId="0" xfId="16" applyNumberFormat="1" applyFont="1" applyFill="1" applyBorder="1" applyAlignment="1">
      <alignment vertical="center"/>
    </xf>
    <xf numFmtId="175" fontId="8" fillId="0" borderId="0" xfId="16" applyNumberFormat="1" applyFont="1" applyFill="1" applyBorder="1" applyAlignment="1">
      <alignment vertical="center"/>
    </xf>
    <xf numFmtId="0" fontId="6" fillId="6" borderId="0" xfId="3" applyFont="1" applyFill="1" applyBorder="1">
      <alignment vertical="center"/>
    </xf>
    <xf numFmtId="177" fontId="6" fillId="0" borderId="0" xfId="15" applyNumberFormat="1" applyFont="1" applyFill="1" applyBorder="1" applyAlignment="1">
      <alignment vertical="center"/>
    </xf>
    <xf numFmtId="164" fontId="6" fillId="0" borderId="0" xfId="6" applyFont="1" applyFill="1" applyBorder="1" applyAlignment="1">
      <alignment horizontal="center" vertical="center"/>
    </xf>
    <xf numFmtId="176" fontId="6" fillId="0" borderId="0" xfId="3" applyNumberFormat="1" applyFont="1" applyBorder="1">
      <alignment vertical="center"/>
    </xf>
    <xf numFmtId="9" fontId="6" fillId="0" borderId="0" xfId="16" applyFont="1" applyFill="1" applyBorder="1" applyAlignment="1">
      <alignment vertical="center"/>
    </xf>
    <xf numFmtId="0" fontId="12" fillId="0" borderId="0" xfId="3" applyFont="1" applyBorder="1">
      <alignment vertical="center"/>
    </xf>
    <xf numFmtId="0" fontId="7" fillId="0" borderId="0" xfId="3" applyFont="1" applyAlignment="1">
      <alignment horizontal="left"/>
    </xf>
    <xf numFmtId="0" fontId="8" fillId="0" borderId="0" xfId="3" applyFont="1" applyBorder="1" applyAlignment="1">
      <alignment horizontal="center" vertical="center"/>
    </xf>
    <xf numFmtId="0" fontId="67" fillId="0" borderId="0" xfId="3" applyFont="1" applyBorder="1">
      <alignment vertical="center"/>
    </xf>
    <xf numFmtId="0" fontId="73" fillId="0" borderId="0" xfId="3" applyFont="1" applyBorder="1" applyAlignment="1">
      <alignment horizontal="center" vertical="center"/>
    </xf>
    <xf numFmtId="0" fontId="8" fillId="0" borderId="0" xfId="4" applyFont="1" applyBorder="1" applyAlignment="1">
      <alignment horizontal="centerContinuous"/>
    </xf>
    <xf numFmtId="43" fontId="6" fillId="0" borderId="9" xfId="3" applyNumberFormat="1" applyFont="1" applyBorder="1">
      <alignment vertical="center"/>
    </xf>
    <xf numFmtId="166" fontId="8" fillId="0" borderId="20" xfId="15" applyNumberFormat="1" applyFont="1" applyFill="1" applyBorder="1" applyAlignment="1">
      <alignment horizontal="center" vertical="center"/>
    </xf>
    <xf numFmtId="166" fontId="3" fillId="0" borderId="0" xfId="3" applyNumberFormat="1" applyAlignment="1"/>
    <xf numFmtId="166" fontId="12" fillId="0" borderId="0" xfId="15" applyNumberFormat="1" applyFont="1" applyAlignment="1"/>
    <xf numFmtId="0" fontId="71" fillId="0" borderId="0" xfId="3" applyFont="1" applyAlignment="1"/>
    <xf numFmtId="166" fontId="8" fillId="0" borderId="5" xfId="15" applyNumberFormat="1" applyFont="1" applyFill="1" applyBorder="1" applyAlignment="1">
      <alignment horizontal="center"/>
    </xf>
    <xf numFmtId="166" fontId="8" fillId="0" borderId="6" xfId="15" applyNumberFormat="1" applyFont="1" applyFill="1" applyBorder="1" applyAlignment="1">
      <alignment horizontal="center"/>
    </xf>
    <xf numFmtId="166" fontId="8" fillId="0" borderId="9" xfId="15" applyNumberFormat="1" applyFont="1" applyFill="1" applyBorder="1" applyAlignment="1">
      <alignment horizontal="center"/>
    </xf>
    <xf numFmtId="166" fontId="8" fillId="0" borderId="10" xfId="15" applyNumberFormat="1" applyFont="1" applyFill="1" applyBorder="1" applyAlignment="1">
      <alignment horizontal="center"/>
    </xf>
    <xf numFmtId="166" fontId="8" fillId="0" borderId="13" xfId="15" applyNumberFormat="1" applyFont="1" applyFill="1" applyBorder="1" applyAlignment="1">
      <alignment horizontal="center"/>
    </xf>
    <xf numFmtId="166" fontId="8" fillId="0" borderId="14" xfId="15" applyNumberFormat="1" applyFont="1" applyFill="1" applyBorder="1" applyAlignment="1">
      <alignment horizontal="center"/>
    </xf>
    <xf numFmtId="174" fontId="6" fillId="0" borderId="0" xfId="3" applyNumberFormat="1" applyFont="1" applyAlignment="1">
      <alignment horizontal="center" vertical="center"/>
    </xf>
    <xf numFmtId="174" fontId="6" fillId="0" borderId="0" xfId="3" applyNumberFormat="1" applyFont="1">
      <alignment vertical="center"/>
    </xf>
    <xf numFmtId="0" fontId="72" fillId="0" borderId="8" xfId="3" applyFont="1" applyBorder="1" applyAlignment="1"/>
    <xf numFmtId="0" fontId="72" fillId="0" borderId="0" xfId="3" applyFont="1" applyAlignment="1"/>
    <xf numFmtId="0" fontId="72" fillId="0" borderId="54" xfId="3" applyFont="1" applyBorder="1" applyAlignment="1"/>
    <xf numFmtId="0" fontId="6" fillId="0" borderId="7" xfId="3" applyFont="1" applyBorder="1" applyAlignment="1">
      <alignment horizontal="center" vertical="center"/>
    </xf>
    <xf numFmtId="0" fontId="14" fillId="0" borderId="0" xfId="21" applyFont="1"/>
    <xf numFmtId="0" fontId="14" fillId="0" borderId="0" xfId="21" applyFont="1" applyAlignment="1">
      <alignment horizontal="left"/>
    </xf>
    <xf numFmtId="166" fontId="12" fillId="0" borderId="10" xfId="22" applyNumberFormat="1" applyFont="1" applyFill="1" applyBorder="1" applyAlignment="1"/>
    <xf numFmtId="166" fontId="12" fillId="0" borderId="0" xfId="22" applyNumberFormat="1" applyFont="1" applyFill="1" applyAlignment="1"/>
    <xf numFmtId="166" fontId="14" fillId="0" borderId="21" xfId="22" applyNumberFormat="1" applyFont="1" applyBorder="1" applyAlignment="1"/>
    <xf numFmtId="166" fontId="14" fillId="0" borderId="16" xfId="22" applyNumberFormat="1" applyFont="1" applyFill="1" applyBorder="1" applyAlignment="1"/>
    <xf numFmtId="166" fontId="14" fillId="0" borderId="16" xfId="22" applyNumberFormat="1" applyFont="1" applyBorder="1" applyAlignment="1"/>
    <xf numFmtId="166" fontId="8" fillId="0" borderId="28" xfId="15" applyNumberFormat="1" applyFont="1" applyFill="1" applyBorder="1" applyAlignment="1">
      <alignment horizontal="center"/>
    </xf>
    <xf numFmtId="166" fontId="8" fillId="0" borderId="16" xfId="15" applyNumberFormat="1" applyFont="1" applyFill="1" applyBorder="1" applyAlignment="1">
      <alignment horizontal="center"/>
    </xf>
    <xf numFmtId="166" fontId="8" fillId="0" borderId="31" xfId="15" applyNumberFormat="1" applyFont="1" applyFill="1" applyBorder="1" applyAlignment="1">
      <alignment horizontal="center"/>
    </xf>
    <xf numFmtId="0" fontId="8" fillId="0" borderId="53" xfId="3" applyFont="1" applyBorder="1" applyAlignment="1">
      <alignment horizontal="center" vertical="center"/>
    </xf>
    <xf numFmtId="0" fontId="8" fillId="0" borderId="54" xfId="3" applyFont="1" applyBorder="1" applyAlignment="1">
      <alignment horizontal="right" vertical="center"/>
    </xf>
    <xf numFmtId="0" fontId="8" fillId="0" borderId="54" xfId="3" applyFont="1" applyBorder="1" applyAlignment="1">
      <alignment horizontal="center" vertical="center"/>
    </xf>
    <xf numFmtId="0" fontId="6" fillId="10" borderId="0" xfId="3" applyFont="1" applyFill="1">
      <alignment vertical="center"/>
    </xf>
    <xf numFmtId="0" fontId="8" fillId="0" borderId="56" xfId="3" applyFont="1" applyBorder="1" applyAlignment="1">
      <alignment horizontal="center" vertical="center"/>
    </xf>
    <xf numFmtId="0" fontId="6" fillId="0" borderId="54" xfId="3" applyFont="1" applyBorder="1" applyAlignment="1">
      <alignment horizontal="center" vertical="center"/>
    </xf>
    <xf numFmtId="0" fontId="14" fillId="0" borderId="0" xfId="3" applyFont="1" applyFill="1" applyAlignment="1"/>
    <xf numFmtId="0" fontId="7" fillId="0" borderId="0" xfId="3" applyFont="1" applyFill="1" applyAlignment="1"/>
    <xf numFmtId="0" fontId="7" fillId="0" borderId="0" xfId="0" applyFont="1" applyFill="1"/>
    <xf numFmtId="0" fontId="71" fillId="0" borderId="0" xfId="0" applyFont="1" applyFill="1"/>
    <xf numFmtId="0" fontId="7" fillId="0" borderId="0" xfId="0" applyFont="1" applyFill="1" applyAlignment="1">
      <alignment horizontal="left"/>
    </xf>
    <xf numFmtId="0" fontId="4" fillId="0" borderId="0" xfId="3" applyFont="1" applyFill="1" applyAlignment="1"/>
    <xf numFmtId="0" fontId="8" fillId="0" borderId="2" xfId="4" applyFont="1" applyFill="1" applyBorder="1" applyAlignment="1">
      <alignment horizontal="center"/>
    </xf>
    <xf numFmtId="0" fontId="8" fillId="0" borderId="7" xfId="4" applyFont="1" applyFill="1" applyBorder="1" applyAlignment="1">
      <alignment horizontal="center"/>
    </xf>
    <xf numFmtId="0" fontId="8" fillId="0" borderId="11" xfId="4" applyFont="1" applyFill="1" applyBorder="1" applyAlignment="1">
      <alignment horizontal="center"/>
    </xf>
    <xf numFmtId="0" fontId="12" fillId="0" borderId="29" xfId="3" applyFont="1" applyFill="1" applyBorder="1" applyAlignment="1">
      <alignment horizontal="center" vertical="center"/>
    </xf>
    <xf numFmtId="0" fontId="14" fillId="0" borderId="29" xfId="3" applyFont="1" applyFill="1" applyBorder="1" applyAlignment="1">
      <alignment horizontal="center" vertical="center"/>
    </xf>
    <xf numFmtId="0" fontId="12" fillId="0" borderId="29" xfId="3" applyFont="1" applyFill="1" applyBorder="1" applyAlignment="1">
      <alignment horizontal="right" vertical="center"/>
    </xf>
    <xf numFmtId="0" fontId="12" fillId="0" borderId="55" xfId="3" applyFont="1" applyFill="1" applyBorder="1" applyAlignment="1">
      <alignment horizontal="center" vertical="center"/>
    </xf>
    <xf numFmtId="0" fontId="12" fillId="0" borderId="30" xfId="3" applyFont="1" applyFill="1" applyBorder="1">
      <alignment vertical="center"/>
    </xf>
    <xf numFmtId="0" fontId="12" fillId="0" borderId="0" xfId="3" applyFont="1" applyFill="1">
      <alignment vertical="center"/>
    </xf>
    <xf numFmtId="169" fontId="27" fillId="0" borderId="0" xfId="13" applyNumberFormat="1" applyFont="1" applyAlignment="1"/>
    <xf numFmtId="169" fontId="92" fillId="0" borderId="0" xfId="13" applyNumberFormat="1" applyFont="1" applyAlignment="1"/>
    <xf numFmtId="169" fontId="43" fillId="0" borderId="48" xfId="13" applyNumberFormat="1" applyFont="1" applyBorder="1" applyAlignment="1">
      <alignment horizontal="center"/>
    </xf>
    <xf numFmtId="0" fontId="93" fillId="8" borderId="49" xfId="3" applyFont="1" applyFill="1" applyBorder="1" applyAlignment="1"/>
    <xf numFmtId="169" fontId="94" fillId="0" borderId="0" xfId="13" applyNumberFormat="1" applyFont="1" applyAlignment="1"/>
    <xf numFmtId="165" fontId="67" fillId="0" borderId="0" xfId="15" applyFont="1" applyAlignment="1"/>
    <xf numFmtId="2" fontId="4" fillId="0" borderId="0" xfId="15" applyNumberFormat="1" applyFont="1" applyFill="1" applyBorder="1" applyAlignment="1"/>
    <xf numFmtId="1" fontId="95" fillId="0" borderId="0" xfId="3" applyNumberFormat="1" applyFont="1">
      <alignment vertical="center"/>
    </xf>
    <xf numFmtId="0" fontId="3" fillId="11" borderId="0" xfId="3" applyFill="1" applyAlignment="1"/>
    <xf numFmtId="43" fontId="62" fillId="0" borderId="0" xfId="3" applyNumberFormat="1" applyFont="1">
      <alignment vertical="center"/>
    </xf>
    <xf numFmtId="43" fontId="62" fillId="0" borderId="48" xfId="3" applyNumberFormat="1" applyFont="1" applyBorder="1">
      <alignment vertical="center"/>
    </xf>
    <xf numFmtId="43" fontId="96" fillId="0" borderId="0" xfId="15" applyNumberFormat="1" applyFont="1" applyFill="1" applyBorder="1" applyAlignment="1"/>
    <xf numFmtId="166" fontId="62" fillId="0" borderId="0" xfId="15" applyNumberFormat="1" applyFont="1" applyFill="1" applyBorder="1" applyAlignment="1"/>
    <xf numFmtId="5" fontId="97" fillId="0" borderId="0" xfId="15" applyNumberFormat="1" applyFont="1" applyFill="1" applyBorder="1" applyAlignment="1"/>
    <xf numFmtId="0" fontId="62" fillId="0" borderId="0" xfId="3" applyFont="1" applyAlignment="1">
      <alignment horizontal="center"/>
    </xf>
    <xf numFmtId="165" fontId="62" fillId="0" borderId="0" xfId="15" applyFont="1" applyFill="1" applyBorder="1" applyAlignment="1"/>
    <xf numFmtId="0" fontId="62" fillId="0" borderId="0" xfId="3" applyFont="1" applyAlignment="1">
      <alignment horizontal="left" indent="1"/>
    </xf>
    <xf numFmtId="5" fontId="62" fillId="0" borderId="0" xfId="15" applyNumberFormat="1" applyFont="1" applyFill="1" applyBorder="1" applyAlignment="1"/>
    <xf numFmtId="49" fontId="30" fillId="0" borderId="0" xfId="13" applyNumberFormat="1" applyFont="1" applyAlignment="1"/>
    <xf numFmtId="164" fontId="38" fillId="0" borderId="0" xfId="13" applyNumberFormat="1" applyFont="1" applyAlignment="1">
      <alignment horizontal="right"/>
    </xf>
    <xf numFmtId="166" fontId="12" fillId="0" borderId="0" xfId="15" applyNumberFormat="1" applyFont="1" applyFill="1" applyBorder="1" applyAlignment="1">
      <alignment vertical="center"/>
    </xf>
    <xf numFmtId="174" fontId="12" fillId="0" borderId="0" xfId="3" applyNumberFormat="1" applyFont="1">
      <alignment vertical="center"/>
    </xf>
    <xf numFmtId="166" fontId="12" fillId="0" borderId="0" xfId="15" applyNumberFormat="1" applyFont="1" applyFill="1" applyBorder="1" applyAlignment="1">
      <alignment horizontal="right" vertical="center"/>
    </xf>
    <xf numFmtId="165" fontId="12" fillId="0" borderId="0" xfId="15" applyFont="1" applyFill="1" applyBorder="1" applyAlignment="1">
      <alignment horizontal="right" vertical="center"/>
    </xf>
    <xf numFmtId="9" fontId="12" fillId="0" borderId="0" xfId="16" applyFont="1" applyFill="1" applyBorder="1" applyAlignment="1">
      <alignment vertical="center"/>
    </xf>
    <xf numFmtId="175" fontId="14" fillId="0" borderId="0" xfId="16" applyNumberFormat="1" applyFont="1" applyFill="1" applyBorder="1" applyAlignment="1">
      <alignment vertical="center"/>
    </xf>
    <xf numFmtId="175" fontId="12" fillId="0" borderId="0" xfId="16" applyNumberFormat="1" applyFont="1" applyFill="1" applyBorder="1" applyAlignment="1">
      <alignment vertical="center"/>
    </xf>
    <xf numFmtId="166" fontId="12" fillId="0" borderId="13" xfId="15" applyNumberFormat="1" applyFont="1" applyFill="1" applyBorder="1" applyAlignment="1">
      <alignment horizontal="right" vertical="center"/>
    </xf>
    <xf numFmtId="165" fontId="12" fillId="0" borderId="13" xfId="15" applyFont="1" applyFill="1" applyBorder="1" applyAlignment="1">
      <alignment horizontal="right" vertical="center"/>
    </xf>
    <xf numFmtId="165" fontId="12" fillId="0" borderId="9" xfId="15" applyFont="1" applyFill="1" applyBorder="1" applyAlignment="1">
      <alignment horizontal="center" vertical="center"/>
    </xf>
    <xf numFmtId="0" fontId="12" fillId="0" borderId="54" xfId="3" applyFont="1" applyBorder="1" applyAlignment="1">
      <alignment horizontal="center" vertical="center"/>
    </xf>
    <xf numFmtId="0" fontId="14" fillId="0" borderId="54" xfId="3" applyFont="1" applyBorder="1" applyAlignment="1">
      <alignment horizontal="center" vertical="center"/>
    </xf>
    <xf numFmtId="166" fontId="12" fillId="0" borderId="20" xfId="15" applyNumberFormat="1" applyFont="1" applyFill="1" applyBorder="1" applyAlignment="1">
      <alignment horizontal="center" vertical="center"/>
    </xf>
    <xf numFmtId="165" fontId="12" fillId="0" borderId="20" xfId="15" applyFont="1" applyFill="1" applyBorder="1" applyAlignment="1">
      <alignment horizontal="center" vertical="center"/>
    </xf>
    <xf numFmtId="0" fontId="14" fillId="0" borderId="56" xfId="3" applyFont="1" applyBorder="1" applyAlignment="1">
      <alignment horizontal="center" vertical="center"/>
    </xf>
    <xf numFmtId="166" fontId="14" fillId="0" borderId="9" xfId="15" applyNumberFormat="1" applyFont="1" applyFill="1" applyBorder="1" applyAlignment="1">
      <alignment horizontal="center" vertical="center"/>
    </xf>
    <xf numFmtId="166" fontId="12" fillId="0" borderId="9" xfId="15" applyNumberFormat="1" applyFont="1" applyFill="1" applyBorder="1" applyAlignment="1">
      <alignment vertical="center"/>
    </xf>
    <xf numFmtId="165" fontId="12" fillId="0" borderId="9" xfId="15" applyFont="1" applyFill="1" applyBorder="1" applyAlignment="1">
      <alignment vertical="center"/>
    </xf>
    <xf numFmtId="166" fontId="12" fillId="0" borderId="8" xfId="3" applyNumberFormat="1" applyFont="1" applyBorder="1">
      <alignment vertical="center"/>
    </xf>
    <xf numFmtId="165" fontId="12" fillId="7" borderId="9" xfId="15" applyFont="1" applyFill="1" applyBorder="1" applyAlignment="1">
      <alignment horizontal="center" vertical="center"/>
    </xf>
    <xf numFmtId="0" fontId="14" fillId="0" borderId="54" xfId="3" applyFont="1" applyBorder="1" applyAlignment="1">
      <alignment horizontal="right" vertical="center"/>
    </xf>
    <xf numFmtId="174" fontId="12" fillId="0" borderId="0" xfId="3" applyNumberFormat="1" applyFont="1" applyAlignment="1">
      <alignment horizontal="center" vertical="center"/>
    </xf>
    <xf numFmtId="0" fontId="14" fillId="0" borderId="53" xfId="3" applyFont="1" applyBorder="1" applyAlignment="1">
      <alignment horizontal="center" vertical="center"/>
    </xf>
    <xf numFmtId="165" fontId="14" fillId="0" borderId="13" xfId="15" applyFont="1" applyBorder="1" applyAlignment="1">
      <alignment horizontal="center"/>
    </xf>
    <xf numFmtId="165" fontId="14" fillId="0" borderId="9" xfId="15" applyFont="1" applyBorder="1" applyAlignment="1">
      <alignment horizontal="center"/>
    </xf>
    <xf numFmtId="165" fontId="14" fillId="0" borderId="5" xfId="15" applyFont="1" applyBorder="1" applyAlignment="1">
      <alignment horizontal="center"/>
    </xf>
    <xf numFmtId="165" fontId="12" fillId="0" borderId="0" xfId="15" applyFont="1" applyAlignment="1"/>
    <xf numFmtId="166" fontId="12" fillId="0" borderId="0" xfId="3" applyNumberFormat="1" applyFont="1" applyAlignment="1">
      <alignment horizontal="center" vertical="center"/>
    </xf>
    <xf numFmtId="0" fontId="6" fillId="0" borderId="8" xfId="3" applyFont="1" applyBorder="1" applyAlignment="1">
      <alignment horizontal="center" vertical="center"/>
    </xf>
    <xf numFmtId="0" fontId="8" fillId="0" borderId="1" xfId="4" applyFont="1" applyBorder="1" applyAlignment="1">
      <alignment horizontal="center"/>
    </xf>
    <xf numFmtId="0" fontId="8" fillId="0" borderId="58" xfId="4" applyFont="1" applyBorder="1" applyAlignment="1"/>
    <xf numFmtId="0" fontId="8" fillId="0" borderId="12" xfId="4" applyFont="1" applyBorder="1" applyAlignment="1"/>
    <xf numFmtId="0" fontId="8" fillId="0" borderId="30" xfId="4" applyFont="1" applyBorder="1" applyAlignment="1">
      <alignment horizontal="center"/>
    </xf>
    <xf numFmtId="0" fontId="8" fillId="0" borderId="54" xfId="4" applyFont="1" applyBorder="1" applyAlignment="1">
      <alignment horizontal="centerContinuous"/>
    </xf>
    <xf numFmtId="0" fontId="8" fillId="0" borderId="8" xfId="4" applyFont="1" applyBorder="1" applyAlignment="1">
      <alignment horizontal="centerContinuous"/>
    </xf>
    <xf numFmtId="0" fontId="8" fillId="0" borderId="29" xfId="4" applyFont="1" applyBorder="1" applyAlignment="1">
      <alignment horizontal="center"/>
    </xf>
    <xf numFmtId="0" fontId="8" fillId="0" borderId="3" xfId="4" applyFont="1" applyBorder="1" applyAlignment="1">
      <alignment horizontal="center"/>
    </xf>
    <xf numFmtId="0" fontId="8" fillId="0" borderId="53" xfId="4" applyFont="1" applyBorder="1" applyAlignment="1"/>
    <xf numFmtId="0" fontId="8" fillId="0" borderId="4" xfId="4" applyFont="1" applyBorder="1" applyAlignment="1"/>
    <xf numFmtId="0" fontId="8" fillId="0" borderId="27" xfId="4" applyFont="1" applyBorder="1" applyAlignment="1">
      <alignment horizontal="center"/>
    </xf>
    <xf numFmtId="166" fontId="6" fillId="0" borderId="58" xfId="15" applyNumberFormat="1" applyFont="1" applyFill="1" applyBorder="1" applyAlignment="1">
      <alignment horizontal="right" vertical="center"/>
    </xf>
    <xf numFmtId="0" fontId="6" fillId="0" borderId="33" xfId="3" applyFont="1" applyBorder="1">
      <alignment vertical="center"/>
    </xf>
    <xf numFmtId="0" fontId="8" fillId="0" borderId="33" xfId="3" applyFont="1" applyBorder="1" applyAlignment="1">
      <alignment horizontal="center" vertical="center"/>
    </xf>
    <xf numFmtId="0" fontId="6" fillId="0" borderId="33" xfId="3" applyFont="1" applyBorder="1" applyAlignment="1">
      <alignment horizontal="center" vertical="center"/>
    </xf>
    <xf numFmtId="169" fontId="6" fillId="0" borderId="33" xfId="6" applyNumberFormat="1" applyFont="1" applyFill="1" applyBorder="1" applyAlignment="1">
      <alignment horizontal="center" vertical="center"/>
    </xf>
    <xf numFmtId="169" fontId="6" fillId="0" borderId="0" xfId="6" applyNumberFormat="1" applyFont="1" applyFill="1" applyBorder="1" applyAlignment="1">
      <alignment horizontal="center" vertical="center"/>
    </xf>
    <xf numFmtId="169" fontId="6" fillId="0" borderId="1" xfId="6" applyNumberFormat="1" applyFont="1" applyFill="1" applyBorder="1" applyAlignment="1">
      <alignment horizontal="right" vertical="center"/>
    </xf>
    <xf numFmtId="165" fontId="6" fillId="0" borderId="0" xfId="15" applyFont="1" applyFill="1" applyBorder="1" applyAlignment="1">
      <alignment horizontal="right" vertical="center"/>
    </xf>
    <xf numFmtId="166" fontId="6" fillId="0" borderId="1" xfId="15" applyNumberFormat="1" applyFont="1" applyFill="1" applyBorder="1" applyAlignment="1">
      <alignment horizontal="right" vertical="center"/>
    </xf>
    <xf numFmtId="165" fontId="6" fillId="0" borderId="1" xfId="15" applyFont="1" applyFill="1" applyBorder="1" applyAlignment="1">
      <alignment horizontal="right" vertical="center"/>
    </xf>
    <xf numFmtId="165" fontId="6" fillId="0" borderId="0" xfId="15" applyFont="1" applyFill="1" applyBorder="1" applyAlignment="1">
      <alignment horizontal="center" vertical="center"/>
    </xf>
    <xf numFmtId="166" fontId="6" fillId="0" borderId="0" xfId="15" applyNumberFormat="1" applyFont="1" applyFill="1" applyBorder="1" applyAlignment="1">
      <alignment horizontal="center" vertical="center"/>
    </xf>
    <xf numFmtId="169" fontId="12" fillId="0" borderId="0" xfId="6" applyNumberFormat="1" applyFont="1" applyFill="1" applyBorder="1" applyAlignment="1">
      <alignment horizontal="center" vertical="center"/>
    </xf>
    <xf numFmtId="166" fontId="6" fillId="0" borderId="33" xfId="15" applyNumberFormat="1" applyFont="1" applyFill="1" applyBorder="1" applyAlignment="1">
      <alignment horizontal="center" vertical="center"/>
    </xf>
    <xf numFmtId="165" fontId="67" fillId="0" borderId="33" xfId="15" applyFont="1" applyFill="1" applyBorder="1" applyAlignment="1">
      <alignment horizontal="center" vertical="center"/>
    </xf>
    <xf numFmtId="165" fontId="67" fillId="0" borderId="20" xfId="15" applyFont="1" applyFill="1" applyBorder="1" applyAlignment="1">
      <alignment horizontal="center" vertical="center"/>
    </xf>
    <xf numFmtId="165" fontId="67" fillId="0" borderId="9" xfId="15" applyFont="1" applyFill="1" applyBorder="1" applyAlignment="1">
      <alignment horizontal="center" vertical="center"/>
    </xf>
    <xf numFmtId="165" fontId="6" fillId="0" borderId="9" xfId="15" applyFont="1" applyFill="1" applyBorder="1" applyAlignment="1">
      <alignment horizontal="center" vertical="center"/>
    </xf>
    <xf numFmtId="166" fontId="8" fillId="0" borderId="0" xfId="3" applyNumberFormat="1" applyFont="1" applyAlignment="1">
      <alignment horizontal="center" vertical="center"/>
    </xf>
    <xf numFmtId="165" fontId="6" fillId="7" borderId="9" xfId="15" applyFont="1" applyFill="1" applyBorder="1" applyAlignment="1">
      <alignment horizontal="center" vertical="center"/>
    </xf>
    <xf numFmtId="165" fontId="67" fillId="0" borderId="9" xfId="15" applyFont="1" applyFill="1" applyBorder="1" applyAlignment="1">
      <alignment vertical="center"/>
    </xf>
    <xf numFmtId="165" fontId="6" fillId="0" borderId="9" xfId="15" applyFont="1" applyFill="1" applyBorder="1" applyAlignment="1">
      <alignment vertical="center"/>
    </xf>
    <xf numFmtId="165" fontId="6" fillId="0" borderId="0" xfId="3" applyNumberFormat="1" applyFont="1">
      <alignment vertical="center"/>
    </xf>
    <xf numFmtId="165" fontId="6" fillId="0" borderId="5" xfId="15" applyFont="1" applyFill="1" applyBorder="1" applyAlignment="1">
      <alignment horizontal="center" vertical="center"/>
    </xf>
    <xf numFmtId="165" fontId="8" fillId="0" borderId="0" xfId="15" applyFont="1" applyFill="1" applyBorder="1" applyAlignment="1">
      <alignment horizontal="center" vertical="center"/>
    </xf>
    <xf numFmtId="166" fontId="12" fillId="0" borderId="1" xfId="15" applyNumberFormat="1" applyFont="1" applyFill="1" applyBorder="1" applyAlignment="1">
      <alignment horizontal="right" vertical="center"/>
    </xf>
    <xf numFmtId="169" fontId="12" fillId="0" borderId="1" xfId="6" applyNumberFormat="1" applyFont="1" applyFill="1" applyBorder="1" applyAlignment="1">
      <alignment horizontal="right" vertical="center"/>
    </xf>
    <xf numFmtId="166" fontId="12" fillId="0" borderId="0" xfId="15" applyNumberFormat="1" applyFont="1" applyFill="1" applyBorder="1" applyAlignment="1">
      <alignment horizontal="center" vertical="center"/>
    </xf>
    <xf numFmtId="0" fontId="12" fillId="0" borderId="29" xfId="3" applyFont="1" applyBorder="1" applyAlignment="1">
      <alignment horizontal="right" vertical="center"/>
    </xf>
    <xf numFmtId="0" fontId="6" fillId="0" borderId="53" xfId="3" applyFont="1" applyBorder="1">
      <alignment vertical="center"/>
    </xf>
    <xf numFmtId="0" fontId="18" fillId="0" borderId="0" xfId="10" applyFill="1" applyAlignment="1">
      <alignment horizontal="left"/>
    </xf>
    <xf numFmtId="0" fontId="8" fillId="0" borderId="0" xfId="3" applyFont="1" applyBorder="1" applyAlignment="1">
      <alignment horizontal="right" vertical="center"/>
    </xf>
    <xf numFmtId="169" fontId="67" fillId="0" borderId="0" xfId="6" applyNumberFormat="1" applyFont="1" applyFill="1" applyBorder="1" applyAlignment="1">
      <alignment horizontal="center" vertical="center"/>
    </xf>
    <xf numFmtId="0" fontId="12" fillId="0" borderId="0" xfId="3" applyFont="1" applyBorder="1" applyAlignment="1">
      <alignment horizontal="center" vertical="center"/>
    </xf>
    <xf numFmtId="0" fontId="14" fillId="0" borderId="0" xfId="3" applyFont="1" applyBorder="1" applyAlignment="1">
      <alignment horizontal="center" vertical="center"/>
    </xf>
    <xf numFmtId="0" fontId="6" fillId="10" borderId="0" xfId="3" applyFont="1" applyFill="1" applyBorder="1">
      <alignment vertical="center"/>
    </xf>
    <xf numFmtId="0" fontId="6" fillId="0" borderId="3" xfId="3" applyFont="1" applyBorder="1">
      <alignment vertical="center"/>
    </xf>
    <xf numFmtId="174" fontId="6" fillId="0" borderId="28" xfId="3" applyNumberFormat="1" applyFont="1" applyBorder="1">
      <alignment vertical="center"/>
    </xf>
    <xf numFmtId="166" fontId="6" fillId="0" borderId="56" xfId="15" applyNumberFormat="1" applyFont="1" applyFill="1" applyBorder="1" applyAlignment="1">
      <alignment horizontal="center" vertical="center"/>
    </xf>
    <xf numFmtId="166" fontId="6" fillId="0" borderId="57" xfId="3" applyNumberFormat="1" applyFont="1" applyBorder="1" applyAlignment="1">
      <alignment horizontal="center" vertical="center"/>
    </xf>
    <xf numFmtId="0" fontId="6" fillId="0" borderId="29" xfId="3" applyFont="1" applyBorder="1" applyAlignment="1">
      <alignment vertical="top"/>
    </xf>
    <xf numFmtId="0" fontId="6" fillId="0" borderId="8" xfId="3" applyFont="1" applyBorder="1" applyAlignment="1">
      <alignment vertical="top"/>
    </xf>
    <xf numFmtId="0" fontId="6" fillId="0" borderId="0" xfId="3" applyFont="1" applyBorder="1" applyAlignment="1">
      <alignment vertical="top"/>
    </xf>
    <xf numFmtId="0" fontId="8" fillId="0" borderId="0" xfId="3" applyFont="1" applyBorder="1" applyAlignment="1">
      <alignment vertical="top"/>
    </xf>
    <xf numFmtId="0" fontId="6" fillId="0" borderId="9" xfId="3" applyFont="1" applyBorder="1" applyAlignment="1">
      <alignment vertical="top"/>
    </xf>
    <xf numFmtId="169" fontId="67" fillId="0" borderId="9" xfId="6" applyNumberFormat="1" applyFont="1" applyFill="1" applyBorder="1" applyAlignment="1">
      <alignment vertical="top"/>
    </xf>
    <xf numFmtId="166" fontId="8" fillId="0" borderId="16" xfId="3" applyNumberFormat="1" applyFont="1" applyBorder="1" applyAlignment="1">
      <alignment vertical="top"/>
    </xf>
    <xf numFmtId="0" fontId="8" fillId="0" borderId="0" xfId="4" applyFont="1" applyBorder="1" applyAlignment="1">
      <alignment horizontal="center"/>
    </xf>
    <xf numFmtId="4" fontId="6" fillId="0" borderId="0" xfId="6" applyNumberFormat="1" applyFont="1" applyFill="1" applyBorder="1" applyAlignment="1">
      <alignment vertical="center"/>
    </xf>
    <xf numFmtId="0" fontId="43" fillId="7" borderId="0" xfId="3" applyFont="1" applyFill="1" applyBorder="1" applyAlignment="1">
      <alignment horizontal="center"/>
    </xf>
    <xf numFmtId="0" fontId="43" fillId="7" borderId="0" xfId="3" applyFont="1" applyFill="1" applyBorder="1" applyAlignment="1">
      <alignment horizontal="left"/>
    </xf>
    <xf numFmtId="0" fontId="43" fillId="6" borderId="0" xfId="3" applyFont="1" applyFill="1" applyBorder="1" applyAlignment="1"/>
    <xf numFmtId="165" fontId="6" fillId="0" borderId="9" xfId="3" applyNumberFormat="1" applyFont="1" applyBorder="1">
      <alignment vertical="center"/>
    </xf>
    <xf numFmtId="169" fontId="4" fillId="0" borderId="19" xfId="13" applyNumberFormat="1" applyFont="1" applyBorder="1" applyAlignment="1"/>
    <xf numFmtId="169" fontId="4" fillId="0" borderId="18" xfId="13" applyNumberFormat="1" applyFont="1" applyBorder="1" applyAlignment="1"/>
    <xf numFmtId="169" fontId="4" fillId="0" borderId="56" xfId="13" applyNumberFormat="1" applyFont="1" applyBorder="1" applyAlignment="1"/>
    <xf numFmtId="169" fontId="67" fillId="0" borderId="20" xfId="6" applyNumberFormat="1" applyFont="1" applyFill="1" applyBorder="1" applyAlignment="1">
      <alignment horizontal="center" vertical="center"/>
    </xf>
    <xf numFmtId="0" fontId="6" fillId="0" borderId="8" xfId="3" applyFont="1" applyBorder="1" applyAlignment="1">
      <alignment horizontal="left" vertical="center"/>
    </xf>
    <xf numFmtId="0" fontId="98" fillId="0" borderId="8" xfId="3" applyFont="1" applyBorder="1">
      <alignment vertical="center"/>
    </xf>
    <xf numFmtId="0" fontId="14" fillId="0" borderId="0" xfId="0" applyFont="1" applyFill="1"/>
    <xf numFmtId="166" fontId="14" fillId="0" borderId="0" xfId="15" applyNumberFormat="1" applyFont="1" applyFill="1" applyBorder="1" applyAlignment="1">
      <alignment horizontal="center" vertical="center"/>
    </xf>
    <xf numFmtId="0" fontId="14" fillId="0" borderId="0" xfId="3" applyFont="1" applyAlignment="1">
      <alignment horizontal="right" vertical="center"/>
    </xf>
    <xf numFmtId="0" fontId="83" fillId="0" borderId="0" xfId="0" applyFont="1" applyFill="1"/>
    <xf numFmtId="0" fontId="14" fillId="0" borderId="0" xfId="0" applyFont="1" applyFill="1" applyAlignment="1">
      <alignment horizontal="left"/>
    </xf>
    <xf numFmtId="0" fontId="12" fillId="0" borderId="0" xfId="3" applyFont="1" applyFill="1" applyAlignment="1"/>
    <xf numFmtId="174" fontId="12" fillId="0" borderId="0" xfId="3" applyNumberFormat="1" applyFont="1" applyBorder="1" applyAlignment="1">
      <alignment horizontal="center" vertical="center"/>
    </xf>
    <xf numFmtId="0" fontId="14" fillId="0" borderId="0" xfId="3" applyFont="1" applyBorder="1">
      <alignment vertical="center"/>
    </xf>
    <xf numFmtId="0" fontId="14" fillId="0" borderId="2" xfId="4" applyFont="1" applyFill="1" applyBorder="1" applyAlignment="1">
      <alignment horizontal="center"/>
    </xf>
    <xf numFmtId="0" fontId="14" fillId="0" borderId="4" xfId="4" applyFont="1" applyBorder="1" applyAlignment="1">
      <alignment horizontal="center"/>
    </xf>
    <xf numFmtId="166" fontId="14" fillId="0" borderId="5" xfId="1" applyNumberFormat="1" applyFont="1" applyFill="1" applyBorder="1" applyAlignment="1">
      <alignment horizontal="center"/>
    </xf>
    <xf numFmtId="0" fontId="14" fillId="0" borderId="7" xfId="4" applyFont="1" applyFill="1" applyBorder="1" applyAlignment="1">
      <alignment horizontal="center"/>
    </xf>
    <xf numFmtId="0" fontId="14" fillId="0" borderId="0" xfId="4" applyFont="1" applyBorder="1" applyAlignment="1">
      <alignment horizontal="centerContinuous"/>
    </xf>
    <xf numFmtId="0" fontId="14" fillId="0" borderId="8" xfId="4" applyFont="1" applyBorder="1" applyAlignment="1">
      <alignment horizontal="center"/>
    </xf>
    <xf numFmtId="166" fontId="14" fillId="0" borderId="9" xfId="1" applyNumberFormat="1" applyFont="1" applyFill="1" applyBorder="1" applyAlignment="1">
      <alignment horizontal="center"/>
    </xf>
    <xf numFmtId="0" fontId="14" fillId="0" borderId="11" xfId="4" applyFont="1" applyFill="1" applyBorder="1" applyAlignment="1">
      <alignment horizontal="center"/>
    </xf>
    <xf numFmtId="0" fontId="14" fillId="0" borderId="12" xfId="4" applyFont="1" applyBorder="1" applyAlignment="1">
      <alignment horizontal="center"/>
    </xf>
    <xf numFmtId="166" fontId="14" fillId="0" borderId="13" xfId="1" applyNumberFormat="1" applyFont="1" applyFill="1" applyBorder="1" applyAlignment="1">
      <alignment horizontal="center"/>
    </xf>
    <xf numFmtId="0" fontId="14" fillId="0" borderId="4" xfId="3" applyFont="1" applyBorder="1">
      <alignment vertical="center"/>
    </xf>
    <xf numFmtId="0" fontId="14" fillId="0" borderId="3" xfId="3" applyFont="1" applyBorder="1">
      <alignment vertical="center"/>
    </xf>
    <xf numFmtId="0" fontId="12" fillId="0" borderId="53" xfId="3" applyFont="1" applyBorder="1">
      <alignment vertical="center"/>
    </xf>
    <xf numFmtId="166" fontId="12" fillId="0" borderId="5" xfId="15" applyNumberFormat="1" applyFont="1" applyFill="1" applyBorder="1" applyAlignment="1">
      <alignment horizontal="center" vertical="center"/>
    </xf>
    <xf numFmtId="174" fontId="12" fillId="0" borderId="0" xfId="3" applyNumberFormat="1" applyFont="1" applyBorder="1">
      <alignment vertical="center"/>
    </xf>
    <xf numFmtId="166" fontId="12" fillId="0" borderId="0" xfId="3" applyNumberFormat="1" applyFont="1" applyBorder="1">
      <alignment vertical="center"/>
    </xf>
    <xf numFmtId="165" fontId="12" fillId="0" borderId="0" xfId="3" applyNumberFormat="1" applyFont="1" applyBorder="1">
      <alignment vertical="center"/>
    </xf>
    <xf numFmtId="166" fontId="14" fillId="0" borderId="0" xfId="3" applyNumberFormat="1" applyFont="1" applyBorder="1" applyAlignment="1">
      <alignment horizontal="center" vertical="center"/>
    </xf>
    <xf numFmtId="0" fontId="12" fillId="7" borderId="0" xfId="3" applyFont="1" applyFill="1" applyBorder="1">
      <alignment vertical="center"/>
    </xf>
    <xf numFmtId="177" fontId="12" fillId="0" borderId="0" xfId="15" applyNumberFormat="1" applyFont="1" applyFill="1" applyBorder="1" applyAlignment="1">
      <alignment vertical="center"/>
    </xf>
    <xf numFmtId="164" fontId="12" fillId="0" borderId="0" xfId="6" applyFont="1" applyFill="1" applyBorder="1" applyAlignment="1">
      <alignment horizontal="center" vertical="center"/>
    </xf>
    <xf numFmtId="176" fontId="12" fillId="0" borderId="0" xfId="3" applyNumberFormat="1" applyFont="1" applyBorder="1">
      <alignment vertical="center"/>
    </xf>
    <xf numFmtId="0" fontId="83" fillId="0" borderId="0" xfId="3" applyFont="1" applyBorder="1" applyAlignment="1">
      <alignment horizontal="center" vertical="center"/>
    </xf>
    <xf numFmtId="0" fontId="12" fillId="0" borderId="0" xfId="3" applyFont="1" applyBorder="1" applyAlignment="1">
      <alignment horizontal="center" vertical="center" wrapText="1"/>
    </xf>
    <xf numFmtId="165" fontId="12" fillId="0" borderId="0" xfId="1" applyFont="1" applyBorder="1" applyAlignment="1">
      <alignment vertical="center"/>
    </xf>
    <xf numFmtId="166" fontId="12" fillId="0" borderId="0" xfId="1" applyNumberFormat="1" applyFont="1" applyBorder="1" applyAlignment="1">
      <alignment vertical="center"/>
    </xf>
    <xf numFmtId="165" fontId="12" fillId="0" borderId="8" xfId="1" applyFont="1" applyBorder="1" applyAlignment="1">
      <alignment vertical="center"/>
    </xf>
    <xf numFmtId="165" fontId="12" fillId="0" borderId="9" xfId="1" applyFont="1" applyBorder="1" applyAlignment="1">
      <alignment vertical="center"/>
    </xf>
    <xf numFmtId="166" fontId="12" fillId="0" borderId="8" xfId="15" applyNumberFormat="1" applyFont="1" applyFill="1" applyBorder="1" applyAlignment="1">
      <alignment horizontal="center" vertical="center"/>
    </xf>
    <xf numFmtId="166" fontId="12" fillId="0" borderId="10" xfId="3" applyNumberFormat="1" applyFont="1" applyBorder="1" applyAlignment="1">
      <alignment horizontal="center" vertical="center"/>
    </xf>
    <xf numFmtId="166" fontId="12" fillId="0" borderId="9" xfId="1" applyNumberFormat="1" applyFont="1" applyBorder="1" applyAlignment="1">
      <alignment vertical="center"/>
    </xf>
    <xf numFmtId="165" fontId="12" fillId="0" borderId="0" xfId="1" applyFont="1" applyAlignment="1">
      <alignment vertical="center"/>
    </xf>
    <xf numFmtId="165" fontId="14" fillId="0" borderId="0" xfId="1" applyFont="1" applyAlignment="1">
      <alignment horizontal="center" vertical="center"/>
    </xf>
    <xf numFmtId="165" fontId="14" fillId="0" borderId="5" xfId="1" applyFont="1" applyBorder="1" applyAlignment="1">
      <alignment horizontal="center"/>
    </xf>
    <xf numFmtId="165" fontId="14" fillId="0" borderId="9" xfId="1" applyFont="1" applyBorder="1" applyAlignment="1">
      <alignment horizontal="center"/>
    </xf>
    <xf numFmtId="165" fontId="14" fillId="0" borderId="13" xfId="1" applyFont="1" applyBorder="1" applyAlignment="1">
      <alignment horizontal="center"/>
    </xf>
    <xf numFmtId="165" fontId="12" fillId="0" borderId="5" xfId="1" applyFont="1" applyBorder="1" applyAlignment="1">
      <alignment horizontal="center" vertical="center"/>
    </xf>
    <xf numFmtId="165" fontId="12" fillId="0" borderId="9" xfId="1" applyFont="1" applyFill="1" applyBorder="1" applyAlignment="1">
      <alignment horizontal="center" vertical="center"/>
    </xf>
    <xf numFmtId="165" fontId="12" fillId="7" borderId="9" xfId="1" applyFont="1" applyFill="1" applyBorder="1" applyAlignment="1">
      <alignment horizontal="center" vertical="center"/>
    </xf>
    <xf numFmtId="165" fontId="12" fillId="0" borderId="9" xfId="1" applyFont="1" applyBorder="1" applyAlignment="1">
      <alignment horizontal="center" vertical="center"/>
    </xf>
    <xf numFmtId="165" fontId="12" fillId="0" borderId="20" xfId="1" applyFont="1" applyFill="1" applyBorder="1" applyAlignment="1">
      <alignment horizontal="center" vertical="center"/>
    </xf>
    <xf numFmtId="165" fontId="12" fillId="0" borderId="0" xfId="1" applyFont="1" applyFill="1" applyBorder="1" applyAlignment="1">
      <alignment horizontal="center" vertical="center"/>
    </xf>
    <xf numFmtId="165" fontId="12" fillId="0" borderId="1" xfId="1" applyFont="1" applyFill="1" applyBorder="1" applyAlignment="1">
      <alignment horizontal="right" vertical="center"/>
    </xf>
    <xf numFmtId="165" fontId="12" fillId="0" borderId="0" xfId="1" applyFont="1" applyFill="1" applyBorder="1" applyAlignment="1">
      <alignment horizontal="right" vertical="center"/>
    </xf>
    <xf numFmtId="0" fontId="6" fillId="0" borderId="35" xfId="0" applyFont="1" applyFill="1" applyBorder="1" applyAlignment="1">
      <alignment horizontal="left" indent="1"/>
    </xf>
    <xf numFmtId="0" fontId="12" fillId="0" borderId="0" xfId="4" applyFont="1" applyBorder="1" applyAlignment="1"/>
    <xf numFmtId="0" fontId="14" fillId="0" borderId="0" xfId="4" applyFont="1" applyBorder="1" applyAlignment="1"/>
    <xf numFmtId="0" fontId="12" fillId="10" borderId="0" xfId="3" applyFont="1" applyFill="1" applyBorder="1">
      <alignment vertical="center"/>
    </xf>
    <xf numFmtId="0" fontId="14" fillId="0" borderId="16" xfId="3" applyFont="1" applyBorder="1" applyAlignment="1">
      <alignment horizontal="center" vertical="center"/>
    </xf>
    <xf numFmtId="0" fontId="12" fillId="0" borderId="8" xfId="3" applyFont="1" applyBorder="1" applyAlignment="1">
      <alignment horizontal="center" vertical="center"/>
    </xf>
    <xf numFmtId="0" fontId="14" fillId="0" borderId="5" xfId="3" applyFont="1" applyBorder="1" applyAlignment="1">
      <alignment horizontal="center" vertical="center"/>
    </xf>
    <xf numFmtId="166" fontId="12" fillId="0" borderId="5" xfId="15" applyNumberFormat="1" applyFont="1" applyFill="1" applyBorder="1" applyAlignment="1">
      <alignment horizontal="center" vertical="center" wrapText="1"/>
    </xf>
    <xf numFmtId="165" fontId="12" fillId="0" borderId="0" xfId="1" applyFont="1" applyFill="1" applyAlignment="1">
      <alignment vertical="center"/>
    </xf>
    <xf numFmtId="165" fontId="14" fillId="0" borderId="0" xfId="1" applyFont="1" applyFill="1" applyAlignment="1">
      <alignment horizontal="center" vertical="center"/>
    </xf>
    <xf numFmtId="0" fontId="83" fillId="0" borderId="0" xfId="0" applyFont="1"/>
    <xf numFmtId="0" fontId="14" fillId="0" borderId="27" xfId="4" applyFont="1" applyBorder="1" applyAlignment="1">
      <alignment horizontal="center"/>
    </xf>
    <xf numFmtId="0" fontId="14" fillId="0" borderId="4" xfId="4" applyFont="1" applyBorder="1" applyAlignment="1"/>
    <xf numFmtId="165" fontId="14" fillId="0" borderId="3" xfId="1" applyFont="1" applyFill="1" applyBorder="1" applyAlignment="1">
      <alignment horizontal="center"/>
    </xf>
    <xf numFmtId="165" fontId="14" fillId="0" borderId="28" xfId="5" applyFont="1" applyFill="1" applyBorder="1" applyAlignment="1">
      <alignment horizontal="center"/>
    </xf>
    <xf numFmtId="0" fontId="14" fillId="0" borderId="29" xfId="4" applyFont="1" applyBorder="1" applyAlignment="1">
      <alignment horizontal="center"/>
    </xf>
    <xf numFmtId="0" fontId="14" fillId="0" borderId="8" xfId="4" applyFont="1" applyBorder="1" applyAlignment="1">
      <alignment horizontal="centerContinuous"/>
    </xf>
    <xf numFmtId="165" fontId="14" fillId="0" borderId="0" xfId="1" applyFont="1" applyFill="1" applyBorder="1" applyAlignment="1">
      <alignment horizontal="center"/>
    </xf>
    <xf numFmtId="165" fontId="14" fillId="0" borderId="16" xfId="5" applyFont="1" applyFill="1" applyBorder="1" applyAlignment="1">
      <alignment horizontal="center"/>
    </xf>
    <xf numFmtId="0" fontId="14" fillId="0" borderId="30" xfId="4" applyFont="1" applyBorder="1" applyAlignment="1">
      <alignment horizontal="center"/>
    </xf>
    <xf numFmtId="0" fontId="14" fillId="0" borderId="12" xfId="4" applyFont="1" applyBorder="1" applyAlignment="1"/>
    <xf numFmtId="165" fontId="14" fillId="0" borderId="1" xfId="1" applyFont="1" applyFill="1" applyBorder="1" applyAlignment="1">
      <alignment horizontal="center"/>
    </xf>
    <xf numFmtId="165" fontId="14" fillId="0" borderId="31" xfId="5" applyFont="1" applyFill="1" applyBorder="1" applyAlignment="1">
      <alignment horizontal="center"/>
    </xf>
    <xf numFmtId="165" fontId="6" fillId="0" borderId="0" xfId="1" applyFont="1" applyFill="1" applyAlignment="1">
      <alignment horizontal="center" vertical="center"/>
    </xf>
    <xf numFmtId="165" fontId="6" fillId="0" borderId="0" xfId="1" applyFont="1" applyFill="1" applyBorder="1" applyAlignment="1">
      <alignment horizontal="center" vertical="center"/>
    </xf>
    <xf numFmtId="165" fontId="6" fillId="0" borderId="0" xfId="1" applyFont="1" applyFill="1" applyAlignment="1">
      <alignment vertical="center"/>
    </xf>
    <xf numFmtId="169" fontId="4" fillId="0" borderId="0" xfId="13" applyNumberFormat="1" applyFont="1" applyFill="1" applyBorder="1" applyAlignment="1"/>
    <xf numFmtId="165" fontId="67" fillId="0" borderId="0" xfId="1" applyFont="1" applyFill="1" applyBorder="1" applyAlignment="1">
      <alignment horizontal="center" vertical="center"/>
    </xf>
    <xf numFmtId="165" fontId="6" fillId="0" borderId="9" xfId="1" applyFont="1" applyFill="1" applyBorder="1" applyAlignment="1">
      <alignment vertical="center"/>
    </xf>
    <xf numFmtId="166" fontId="6" fillId="0" borderId="9" xfId="1" applyNumberFormat="1" applyFont="1" applyFill="1" applyBorder="1" applyAlignment="1">
      <alignment vertical="center"/>
    </xf>
    <xf numFmtId="165" fontId="67" fillId="0" borderId="9" xfId="1" applyFont="1" applyFill="1" applyBorder="1" applyAlignment="1">
      <alignment horizontal="center" vertical="center"/>
    </xf>
    <xf numFmtId="165" fontId="6" fillId="0" borderId="9" xfId="1" applyFont="1" applyFill="1" applyBorder="1" applyAlignment="1">
      <alignment horizontal="center" vertical="center"/>
    </xf>
    <xf numFmtId="0" fontId="6" fillId="0" borderId="59" xfId="3" applyFont="1" applyBorder="1" applyAlignment="1">
      <alignment horizontal="center" vertical="center"/>
    </xf>
    <xf numFmtId="0" fontId="6" fillId="0" borderId="44" xfId="3" applyFont="1" applyBorder="1" applyAlignment="1">
      <alignment horizontal="center" vertical="center"/>
    </xf>
    <xf numFmtId="165" fontId="6" fillId="0" borderId="61" xfId="1" applyFont="1" applyFill="1" applyBorder="1" applyAlignment="1">
      <alignment horizontal="center" vertical="center"/>
    </xf>
    <xf numFmtId="166" fontId="6" fillId="0" borderId="44" xfId="15" applyNumberFormat="1" applyFont="1" applyFill="1" applyBorder="1" applyAlignment="1">
      <alignment horizontal="center" vertical="center"/>
    </xf>
    <xf numFmtId="166" fontId="8" fillId="0" borderId="63" xfId="3" applyNumberFormat="1" applyFont="1" applyBorder="1" applyAlignment="1">
      <alignment horizontal="center" vertical="center"/>
    </xf>
    <xf numFmtId="165" fontId="6" fillId="0" borderId="1" xfId="1" applyFont="1" applyFill="1" applyBorder="1" applyAlignment="1">
      <alignment horizontal="right" vertical="center"/>
    </xf>
    <xf numFmtId="165" fontId="6" fillId="0" borderId="0" xfId="1" applyFont="1" applyFill="1" applyBorder="1" applyAlignment="1">
      <alignment horizontal="righ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/>
    </xf>
    <xf numFmtId="0" fontId="12" fillId="0" borderId="7" xfId="3" applyFont="1" applyFill="1" applyBorder="1" applyAlignment="1">
      <alignment horizontal="center" vertical="center"/>
    </xf>
    <xf numFmtId="166" fontId="12" fillId="0" borderId="0" xfId="1" quotePrefix="1" applyNumberFormat="1" applyFont="1" applyBorder="1" applyAlignment="1">
      <alignment vertical="center"/>
    </xf>
    <xf numFmtId="0" fontId="2" fillId="0" borderId="0" xfId="10" applyFont="1" applyAlignment="1">
      <alignment horizontal="center"/>
    </xf>
    <xf numFmtId="43" fontId="23" fillId="0" borderId="43" xfId="12" applyNumberFormat="1" applyFont="1" applyFill="1" applyBorder="1" applyAlignment="1">
      <alignment horizontal="center" vertical="center"/>
    </xf>
    <xf numFmtId="43" fontId="23" fillId="0" borderId="9" xfId="12" applyNumberFormat="1" applyFont="1" applyFill="1" applyBorder="1" applyAlignment="1">
      <alignment horizontal="center" vertical="center"/>
    </xf>
    <xf numFmtId="43" fontId="23" fillId="0" borderId="44" xfId="12" applyNumberFormat="1" applyFont="1" applyFill="1" applyBorder="1" applyAlignment="1">
      <alignment horizontal="center" vertical="center"/>
    </xf>
    <xf numFmtId="43" fontId="23" fillId="0" borderId="43" xfId="12" applyNumberFormat="1" applyFont="1" applyFill="1" applyBorder="1" applyAlignment="1">
      <alignment horizontal="center" vertical="center" wrapText="1"/>
    </xf>
    <xf numFmtId="43" fontId="23" fillId="0" borderId="9" xfId="12" applyNumberFormat="1" applyFont="1" applyFill="1" applyBorder="1" applyAlignment="1">
      <alignment horizontal="center" vertical="center" wrapText="1"/>
    </xf>
    <xf numFmtId="43" fontId="23" fillId="0" borderId="44" xfId="12" applyNumberFormat="1" applyFont="1" applyFill="1" applyBorder="1" applyAlignment="1">
      <alignment horizontal="center" vertical="center" wrapText="1"/>
    </xf>
    <xf numFmtId="0" fontId="19" fillId="0" borderId="0" xfId="10" applyFont="1" applyAlignment="1">
      <alignment horizontal="center"/>
    </xf>
    <xf numFmtId="0" fontId="20" fillId="2" borderId="40" xfId="10" applyFont="1" applyFill="1" applyBorder="1" applyAlignment="1">
      <alignment horizontal="center" vertical="center"/>
    </xf>
    <xf numFmtId="165" fontId="20" fillId="2" borderId="41" xfId="11" applyFont="1" applyFill="1" applyBorder="1" applyAlignment="1">
      <alignment horizontal="center" vertical="center"/>
    </xf>
    <xf numFmtId="165" fontId="20" fillId="2" borderId="42" xfId="11" applyFont="1" applyFill="1" applyBorder="1" applyAlignment="1">
      <alignment horizontal="center" vertical="center"/>
    </xf>
    <xf numFmtId="43" fontId="20" fillId="2" borderId="43" xfId="12" applyNumberFormat="1" applyFont="1" applyFill="1" applyBorder="1" applyAlignment="1">
      <alignment horizontal="center" vertical="center" wrapText="1"/>
    </xf>
    <xf numFmtId="43" fontId="20" fillId="2" borderId="44" xfId="12" applyNumberFormat="1" applyFont="1" applyFill="1" applyBorder="1" applyAlignment="1">
      <alignment horizontal="center" vertical="center" wrapText="1"/>
    </xf>
    <xf numFmtId="0" fontId="20" fillId="2" borderId="43" xfId="10" applyFont="1" applyFill="1" applyBorder="1" applyAlignment="1">
      <alignment horizontal="center" vertical="center"/>
    </xf>
    <xf numFmtId="0" fontId="20" fillId="2" borderId="44" xfId="10" applyFont="1" applyFill="1" applyBorder="1" applyAlignment="1">
      <alignment horizontal="center" vertical="center"/>
    </xf>
    <xf numFmtId="166" fontId="6" fillId="0" borderId="18" xfId="1" applyNumberFormat="1" applyFont="1" applyFill="1" applyBorder="1" applyAlignment="1">
      <alignment horizontal="right"/>
    </xf>
    <xf numFmtId="0" fontId="8" fillId="2" borderId="35" xfId="0" applyFont="1" applyFill="1" applyBorder="1" applyAlignment="1">
      <alignment horizontal="center"/>
    </xf>
    <xf numFmtId="0" fontId="8" fillId="2" borderId="0" xfId="0" applyFont="1" applyFill="1" applyAlignment="1">
      <alignment horizontal="center"/>
    </xf>
    <xf numFmtId="0" fontId="8" fillId="2" borderId="36" xfId="0" applyFont="1" applyFill="1" applyBorder="1" applyAlignment="1">
      <alignment horizontal="center"/>
    </xf>
    <xf numFmtId="0" fontId="4" fillId="0" borderId="1" xfId="3" applyFont="1" applyBorder="1" applyAlignment="1">
      <alignment horizontal="right"/>
    </xf>
    <xf numFmtId="0" fontId="8" fillId="0" borderId="0" xfId="3" applyFont="1" applyBorder="1" applyAlignment="1">
      <alignment horizontal="center" vertical="center" wrapText="1"/>
    </xf>
    <xf numFmtId="0" fontId="6" fillId="0" borderId="0" xfId="3" applyFont="1" applyBorder="1" applyAlignment="1">
      <alignment horizontal="center" vertical="center" wrapText="1"/>
    </xf>
    <xf numFmtId="0" fontId="14" fillId="0" borderId="0" xfId="3" applyFont="1" applyAlignment="1">
      <alignment horizontal="center" vertical="center" wrapText="1"/>
    </xf>
    <xf numFmtId="0" fontId="12" fillId="0" borderId="0" xfId="3" applyFont="1" applyAlignment="1">
      <alignment horizontal="center" vertical="center" wrapText="1"/>
    </xf>
    <xf numFmtId="0" fontId="8" fillId="0" borderId="0" xfId="3" applyFont="1" applyAlignment="1">
      <alignment horizontal="center" vertical="center" wrapText="1"/>
    </xf>
    <xf numFmtId="0" fontId="6" fillId="0" borderId="0" xfId="3" applyFont="1" applyAlignment="1">
      <alignment horizontal="center" vertical="center" wrapText="1"/>
    </xf>
    <xf numFmtId="0" fontId="12" fillId="0" borderId="1" xfId="3" applyFont="1" applyBorder="1" applyAlignment="1">
      <alignment horizontal="right"/>
    </xf>
    <xf numFmtId="0" fontId="14" fillId="0" borderId="0" xfId="3" applyFont="1" applyBorder="1" applyAlignment="1">
      <alignment horizontal="center" vertical="center" wrapText="1"/>
    </xf>
    <xf numFmtId="0" fontId="12" fillId="0" borderId="0" xfId="3" applyFont="1" applyBorder="1" applyAlignment="1">
      <alignment horizontal="center" vertical="center" wrapText="1"/>
    </xf>
    <xf numFmtId="0" fontId="8" fillId="0" borderId="43" xfId="3" applyFont="1" applyBorder="1" applyAlignment="1">
      <alignment horizontal="center"/>
    </xf>
    <xf numFmtId="0" fontId="8" fillId="0" borderId="40" xfId="3" applyFont="1" applyBorder="1" applyAlignment="1">
      <alignment horizontal="center"/>
    </xf>
    <xf numFmtId="0" fontId="53" fillId="0" borderId="43" xfId="3" applyFont="1" applyBorder="1" applyAlignment="1">
      <alignment horizontal="center"/>
    </xf>
    <xf numFmtId="0" fontId="53" fillId="0" borderId="40" xfId="3" applyFont="1" applyBorder="1" applyAlignment="1">
      <alignment horizontal="center"/>
    </xf>
    <xf numFmtId="0" fontId="85" fillId="0" borderId="43" xfId="3" applyFont="1" applyBorder="1" applyAlignment="1">
      <alignment horizontal="center" vertical="center" wrapText="1"/>
    </xf>
    <xf numFmtId="0" fontId="34" fillId="0" borderId="44" xfId="3" applyFont="1" applyBorder="1" applyAlignment="1">
      <alignment horizontal="center" vertical="center" wrapText="1"/>
    </xf>
    <xf numFmtId="0" fontId="85" fillId="0" borderId="43" xfId="3" applyFont="1" applyBorder="1" applyAlignment="1">
      <alignment horizontal="center" vertical="center"/>
    </xf>
    <xf numFmtId="0" fontId="34" fillId="0" borderId="44" xfId="3" applyFont="1" applyBorder="1" applyAlignment="1">
      <alignment horizontal="center" vertical="center"/>
    </xf>
    <xf numFmtId="0" fontId="85" fillId="0" borderId="44" xfId="3" applyFont="1" applyBorder="1" applyAlignment="1">
      <alignment horizontal="center" vertical="center"/>
    </xf>
    <xf numFmtId="166" fontId="85" fillId="0" borderId="43" xfId="15" applyNumberFormat="1" applyFont="1" applyFill="1" applyBorder="1" applyAlignment="1">
      <alignment horizontal="center" vertical="center" wrapText="1"/>
    </xf>
    <xf numFmtId="166" fontId="34" fillId="0" borderId="44" xfId="15" applyNumberFormat="1" applyFont="1" applyFill="1" applyBorder="1" applyAlignment="1">
      <alignment horizontal="center" vertical="center" wrapText="1"/>
    </xf>
    <xf numFmtId="42" fontId="0" fillId="0" borderId="0" xfId="0" applyNumberFormat="1" applyAlignment="1">
      <alignment horizontal="left"/>
    </xf>
  </cellXfs>
  <cellStyles count="23">
    <cellStyle name="=C:\WINNT35\SYSTEM32\COMMAND.COM 2 2" xfId="8" xr:uid="{D8FE77BC-0B2F-488F-A468-CFB812BFDF6B}"/>
    <cellStyle name="Comma" xfId="1" builtinId="3"/>
    <cellStyle name="Comma [0] 2" xfId="12" xr:uid="{AFAFFC65-4C38-4832-8FBC-D57B016C6055}"/>
    <cellStyle name="Comma [0] 2 2" xfId="6" xr:uid="{42840468-3C9F-4A77-A64C-FFD1C84808C7}"/>
    <cellStyle name="Comma [0] 3" xfId="13" xr:uid="{6BAB8620-7438-40C3-BE12-44285786DBB4}"/>
    <cellStyle name="Comma 2" xfId="9" xr:uid="{196D048D-FF40-47F5-A397-98AA48A83894}"/>
    <cellStyle name="Comma 2 2" xfId="20" xr:uid="{653359BC-F5FE-4F2F-B135-07EBE259E412}"/>
    <cellStyle name="Comma 2 2 2" xfId="15" xr:uid="{80E26CA6-89D6-43F9-AC6A-E3003BCC51AC}"/>
    <cellStyle name="Comma 2 3" xfId="5" xr:uid="{90C31CEC-D06F-4733-9F6B-51BB10A10BB5}"/>
    <cellStyle name="Comma 3" xfId="11" xr:uid="{809B1D20-4DDD-49C3-942D-3E08D226925B}"/>
    <cellStyle name="Comma 3 2" xfId="19" xr:uid="{CAA44995-F1B2-478E-ACCE-E627EE9BCEA7}"/>
    <cellStyle name="Comma 7" xfId="22" xr:uid="{532C9BC6-BC0E-4EFE-9CFD-B16EC282F282}"/>
    <cellStyle name="Normal" xfId="0" builtinId="0"/>
    <cellStyle name="Normal 2" xfId="10" xr:uid="{F3AC942E-D123-4592-9D12-36DCD4119468}"/>
    <cellStyle name="Normal 2 2" xfId="18" xr:uid="{FA13990D-FC83-4B3F-9EC2-58734337D85D}"/>
    <cellStyle name="Normal 2 3" xfId="4" xr:uid="{AF7D48D4-EF9E-4C28-85D8-1AE3E888458F}"/>
    <cellStyle name="Normal 2 3 2" xfId="7" xr:uid="{9090B73F-4C53-411D-95B6-51F2A7EACD24}"/>
    <cellStyle name="Normal 2 4" xfId="14" xr:uid="{9774B244-67FD-491A-9757-B823B07E529C}"/>
    <cellStyle name="Normal 3" xfId="17" xr:uid="{2C3DF7B6-CBEF-4887-BDAE-4E5ECB458A39}"/>
    <cellStyle name="Normal 5" xfId="3" xr:uid="{B701FB1F-FD73-4458-B9F8-19D8F8EC4401}"/>
    <cellStyle name="Normal 6" xfId="21" xr:uid="{E5FD1CF4-F190-441A-80F4-C805B922E5B1}"/>
    <cellStyle name="Percent" xfId="2" builtinId="5"/>
    <cellStyle name="Percent 2" xfId="16" xr:uid="{5BB3D480-2EDA-489C-980C-35E0A7DE2052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externalLink" Target="externalLinks/externalLink58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externalLink" Target="externalLinks/externalLink4.xml"/><Relationship Id="rId84" Type="http://schemas.openxmlformats.org/officeDocument/2006/relationships/externalLink" Target="externalLinks/externalLink25.xml"/><Relationship Id="rId138" Type="http://schemas.openxmlformats.org/officeDocument/2006/relationships/externalLink" Target="externalLinks/externalLink79.xml"/><Relationship Id="rId107" Type="http://schemas.openxmlformats.org/officeDocument/2006/relationships/externalLink" Target="externalLinks/externalLink48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53" Type="http://schemas.openxmlformats.org/officeDocument/2006/relationships/worksheet" Target="worksheets/sheet53.xml"/><Relationship Id="rId74" Type="http://schemas.openxmlformats.org/officeDocument/2006/relationships/externalLink" Target="externalLinks/externalLink15.xml"/><Relationship Id="rId128" Type="http://schemas.openxmlformats.org/officeDocument/2006/relationships/externalLink" Target="externalLinks/externalLink69.xml"/><Relationship Id="rId149" Type="http://schemas.openxmlformats.org/officeDocument/2006/relationships/calcChain" Target="calcChain.xml"/><Relationship Id="rId5" Type="http://schemas.openxmlformats.org/officeDocument/2006/relationships/worksheet" Target="worksheets/sheet5.xml"/><Relationship Id="rId95" Type="http://schemas.openxmlformats.org/officeDocument/2006/relationships/externalLink" Target="externalLinks/externalLink36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externalLink" Target="externalLinks/externalLink5.xml"/><Relationship Id="rId69" Type="http://schemas.openxmlformats.org/officeDocument/2006/relationships/externalLink" Target="externalLinks/externalLink10.xml"/><Relationship Id="rId113" Type="http://schemas.openxmlformats.org/officeDocument/2006/relationships/externalLink" Target="externalLinks/externalLink54.xml"/><Relationship Id="rId118" Type="http://schemas.openxmlformats.org/officeDocument/2006/relationships/externalLink" Target="externalLinks/externalLink59.xml"/><Relationship Id="rId134" Type="http://schemas.openxmlformats.org/officeDocument/2006/relationships/externalLink" Target="externalLinks/externalLink75.xml"/><Relationship Id="rId139" Type="http://schemas.openxmlformats.org/officeDocument/2006/relationships/externalLink" Target="externalLinks/externalLink80.xml"/><Relationship Id="rId80" Type="http://schemas.openxmlformats.org/officeDocument/2006/relationships/externalLink" Target="externalLinks/externalLink21.xml"/><Relationship Id="rId85" Type="http://schemas.openxmlformats.org/officeDocument/2006/relationships/externalLink" Target="externalLinks/externalLink26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externalLink" Target="externalLinks/externalLink44.xml"/><Relationship Id="rId108" Type="http://schemas.openxmlformats.org/officeDocument/2006/relationships/externalLink" Target="externalLinks/externalLink49.xml"/><Relationship Id="rId124" Type="http://schemas.openxmlformats.org/officeDocument/2006/relationships/externalLink" Target="externalLinks/externalLink65.xml"/><Relationship Id="rId129" Type="http://schemas.openxmlformats.org/officeDocument/2006/relationships/externalLink" Target="externalLinks/externalLink70.xml"/><Relationship Id="rId54" Type="http://schemas.openxmlformats.org/officeDocument/2006/relationships/worksheet" Target="worksheets/sheet54.xml"/><Relationship Id="rId70" Type="http://schemas.openxmlformats.org/officeDocument/2006/relationships/externalLink" Target="externalLinks/externalLink11.xml"/><Relationship Id="rId75" Type="http://schemas.openxmlformats.org/officeDocument/2006/relationships/externalLink" Target="externalLinks/externalLink16.xml"/><Relationship Id="rId91" Type="http://schemas.openxmlformats.org/officeDocument/2006/relationships/externalLink" Target="externalLinks/externalLink32.xml"/><Relationship Id="rId96" Type="http://schemas.openxmlformats.org/officeDocument/2006/relationships/externalLink" Target="externalLinks/externalLink37.xml"/><Relationship Id="rId140" Type="http://schemas.openxmlformats.org/officeDocument/2006/relationships/externalLink" Target="externalLinks/externalLink81.xml"/><Relationship Id="rId145" Type="http://schemas.openxmlformats.org/officeDocument/2006/relationships/externalLink" Target="externalLinks/externalLink8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externalLink" Target="externalLinks/externalLink55.xml"/><Relationship Id="rId119" Type="http://schemas.openxmlformats.org/officeDocument/2006/relationships/externalLink" Target="externalLinks/externalLink60.xml"/><Relationship Id="rId44" Type="http://schemas.openxmlformats.org/officeDocument/2006/relationships/worksheet" Target="worksheets/sheet44.xml"/><Relationship Id="rId60" Type="http://schemas.openxmlformats.org/officeDocument/2006/relationships/externalLink" Target="externalLinks/externalLink1.xml"/><Relationship Id="rId65" Type="http://schemas.openxmlformats.org/officeDocument/2006/relationships/externalLink" Target="externalLinks/externalLink6.xml"/><Relationship Id="rId81" Type="http://schemas.openxmlformats.org/officeDocument/2006/relationships/externalLink" Target="externalLinks/externalLink22.xml"/><Relationship Id="rId86" Type="http://schemas.openxmlformats.org/officeDocument/2006/relationships/externalLink" Target="externalLinks/externalLink27.xml"/><Relationship Id="rId130" Type="http://schemas.openxmlformats.org/officeDocument/2006/relationships/externalLink" Target="externalLinks/externalLink71.xml"/><Relationship Id="rId135" Type="http://schemas.openxmlformats.org/officeDocument/2006/relationships/externalLink" Target="externalLinks/externalLink76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externalLink" Target="externalLinks/externalLink50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externalLink" Target="externalLinks/externalLink17.xml"/><Relationship Id="rId97" Type="http://schemas.openxmlformats.org/officeDocument/2006/relationships/externalLink" Target="externalLinks/externalLink38.xml"/><Relationship Id="rId104" Type="http://schemas.openxmlformats.org/officeDocument/2006/relationships/externalLink" Target="externalLinks/externalLink45.xml"/><Relationship Id="rId120" Type="http://schemas.openxmlformats.org/officeDocument/2006/relationships/externalLink" Target="externalLinks/externalLink61.xml"/><Relationship Id="rId125" Type="http://schemas.openxmlformats.org/officeDocument/2006/relationships/externalLink" Target="externalLinks/externalLink66.xml"/><Relationship Id="rId141" Type="http://schemas.openxmlformats.org/officeDocument/2006/relationships/externalLink" Target="externalLinks/externalLink82.xml"/><Relationship Id="rId146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externalLink" Target="externalLinks/externalLink12.xml"/><Relationship Id="rId92" Type="http://schemas.openxmlformats.org/officeDocument/2006/relationships/externalLink" Target="externalLinks/externalLink33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externalLink" Target="externalLinks/externalLink7.xml"/><Relationship Id="rId87" Type="http://schemas.openxmlformats.org/officeDocument/2006/relationships/externalLink" Target="externalLinks/externalLink28.xml"/><Relationship Id="rId110" Type="http://schemas.openxmlformats.org/officeDocument/2006/relationships/externalLink" Target="externalLinks/externalLink51.xml"/><Relationship Id="rId115" Type="http://schemas.openxmlformats.org/officeDocument/2006/relationships/externalLink" Target="externalLinks/externalLink56.xml"/><Relationship Id="rId131" Type="http://schemas.openxmlformats.org/officeDocument/2006/relationships/externalLink" Target="externalLinks/externalLink72.xml"/><Relationship Id="rId136" Type="http://schemas.openxmlformats.org/officeDocument/2006/relationships/externalLink" Target="externalLinks/externalLink77.xml"/><Relationship Id="rId61" Type="http://schemas.openxmlformats.org/officeDocument/2006/relationships/externalLink" Target="externalLinks/externalLink2.xml"/><Relationship Id="rId82" Type="http://schemas.openxmlformats.org/officeDocument/2006/relationships/externalLink" Target="externalLinks/externalLink23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externalLink" Target="externalLinks/externalLink18.xml"/><Relationship Id="rId100" Type="http://schemas.openxmlformats.org/officeDocument/2006/relationships/externalLink" Target="externalLinks/externalLink41.xml"/><Relationship Id="rId105" Type="http://schemas.openxmlformats.org/officeDocument/2006/relationships/externalLink" Target="externalLinks/externalLink46.xml"/><Relationship Id="rId126" Type="http://schemas.openxmlformats.org/officeDocument/2006/relationships/externalLink" Target="externalLinks/externalLink67.xml"/><Relationship Id="rId147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externalLink" Target="externalLinks/externalLink13.xml"/><Relationship Id="rId93" Type="http://schemas.openxmlformats.org/officeDocument/2006/relationships/externalLink" Target="externalLinks/externalLink34.xml"/><Relationship Id="rId98" Type="http://schemas.openxmlformats.org/officeDocument/2006/relationships/externalLink" Target="externalLinks/externalLink39.xml"/><Relationship Id="rId121" Type="http://schemas.openxmlformats.org/officeDocument/2006/relationships/externalLink" Target="externalLinks/externalLink62.xml"/><Relationship Id="rId142" Type="http://schemas.openxmlformats.org/officeDocument/2006/relationships/externalLink" Target="externalLinks/externalLink83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externalLink" Target="externalLinks/externalLink8.xml"/><Relationship Id="rId116" Type="http://schemas.openxmlformats.org/officeDocument/2006/relationships/externalLink" Target="externalLinks/externalLink57.xml"/><Relationship Id="rId137" Type="http://schemas.openxmlformats.org/officeDocument/2006/relationships/externalLink" Target="externalLinks/externalLink78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externalLink" Target="externalLinks/externalLink3.xml"/><Relationship Id="rId83" Type="http://schemas.openxmlformats.org/officeDocument/2006/relationships/externalLink" Target="externalLinks/externalLink24.xml"/><Relationship Id="rId88" Type="http://schemas.openxmlformats.org/officeDocument/2006/relationships/externalLink" Target="externalLinks/externalLink29.xml"/><Relationship Id="rId111" Type="http://schemas.openxmlformats.org/officeDocument/2006/relationships/externalLink" Target="externalLinks/externalLink52.xml"/><Relationship Id="rId132" Type="http://schemas.openxmlformats.org/officeDocument/2006/relationships/externalLink" Target="externalLinks/externalLink73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externalLink" Target="externalLinks/externalLink47.xml"/><Relationship Id="rId127" Type="http://schemas.openxmlformats.org/officeDocument/2006/relationships/externalLink" Target="externalLinks/externalLink68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externalLink" Target="externalLinks/externalLink14.xml"/><Relationship Id="rId78" Type="http://schemas.openxmlformats.org/officeDocument/2006/relationships/externalLink" Target="externalLinks/externalLink19.xml"/><Relationship Id="rId94" Type="http://schemas.openxmlformats.org/officeDocument/2006/relationships/externalLink" Target="externalLinks/externalLink35.xml"/><Relationship Id="rId99" Type="http://schemas.openxmlformats.org/officeDocument/2006/relationships/externalLink" Target="externalLinks/externalLink40.xml"/><Relationship Id="rId101" Type="http://schemas.openxmlformats.org/officeDocument/2006/relationships/externalLink" Target="externalLinks/externalLink42.xml"/><Relationship Id="rId122" Type="http://schemas.openxmlformats.org/officeDocument/2006/relationships/externalLink" Target="externalLinks/externalLink63.xml"/><Relationship Id="rId143" Type="http://schemas.openxmlformats.org/officeDocument/2006/relationships/externalLink" Target="externalLinks/externalLink84.xml"/><Relationship Id="rId148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externalLink" Target="externalLinks/externalLink9.xml"/><Relationship Id="rId89" Type="http://schemas.openxmlformats.org/officeDocument/2006/relationships/externalLink" Target="externalLinks/externalLink30.xml"/><Relationship Id="rId112" Type="http://schemas.openxmlformats.org/officeDocument/2006/relationships/externalLink" Target="externalLinks/externalLink53.xml"/><Relationship Id="rId133" Type="http://schemas.openxmlformats.org/officeDocument/2006/relationships/externalLink" Target="externalLinks/externalLink74.xml"/><Relationship Id="rId16" Type="http://schemas.openxmlformats.org/officeDocument/2006/relationships/worksheet" Target="worksheets/sheet16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externalLink" Target="externalLinks/externalLink20.xml"/><Relationship Id="rId102" Type="http://schemas.openxmlformats.org/officeDocument/2006/relationships/externalLink" Target="externalLinks/externalLink43.xml"/><Relationship Id="rId123" Type="http://schemas.openxmlformats.org/officeDocument/2006/relationships/externalLink" Target="externalLinks/externalLink64.xml"/><Relationship Id="rId144" Type="http://schemas.openxmlformats.org/officeDocument/2006/relationships/externalLink" Target="externalLinks/externalLink85.xml"/><Relationship Id="rId90" Type="http://schemas.openxmlformats.org/officeDocument/2006/relationships/externalLink" Target="externalLinks/externalLink3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image" Target="../media/image46.png"/><Relationship Id="rId18" Type="http://schemas.openxmlformats.org/officeDocument/2006/relationships/image" Target="../media/image1.png"/><Relationship Id="rId3" Type="http://schemas.openxmlformats.org/officeDocument/2006/relationships/image" Target="../media/image36.png"/><Relationship Id="rId21" Type="http://schemas.openxmlformats.org/officeDocument/2006/relationships/image" Target="../media/image53.png"/><Relationship Id="rId7" Type="http://schemas.openxmlformats.org/officeDocument/2006/relationships/image" Target="../media/image40.png"/><Relationship Id="rId12" Type="http://schemas.openxmlformats.org/officeDocument/2006/relationships/image" Target="../media/image45.png"/><Relationship Id="rId17" Type="http://schemas.openxmlformats.org/officeDocument/2006/relationships/image" Target="../media/image50.png"/><Relationship Id="rId2" Type="http://schemas.openxmlformats.org/officeDocument/2006/relationships/image" Target="../media/image35.png"/><Relationship Id="rId16" Type="http://schemas.openxmlformats.org/officeDocument/2006/relationships/image" Target="../media/image49.png"/><Relationship Id="rId20" Type="http://schemas.openxmlformats.org/officeDocument/2006/relationships/image" Target="../media/image52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11" Type="http://schemas.openxmlformats.org/officeDocument/2006/relationships/image" Target="../media/image44.png"/><Relationship Id="rId24" Type="http://schemas.openxmlformats.org/officeDocument/2006/relationships/image" Target="../media/image56.png"/><Relationship Id="rId5" Type="http://schemas.openxmlformats.org/officeDocument/2006/relationships/image" Target="../media/image38.png"/><Relationship Id="rId15" Type="http://schemas.openxmlformats.org/officeDocument/2006/relationships/image" Target="../media/image48.png"/><Relationship Id="rId23" Type="http://schemas.openxmlformats.org/officeDocument/2006/relationships/image" Target="../media/image55.png"/><Relationship Id="rId10" Type="http://schemas.openxmlformats.org/officeDocument/2006/relationships/image" Target="../media/image43.png"/><Relationship Id="rId19" Type="http://schemas.openxmlformats.org/officeDocument/2006/relationships/image" Target="../media/image51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Relationship Id="rId14" Type="http://schemas.openxmlformats.org/officeDocument/2006/relationships/image" Target="../media/image47.png"/><Relationship Id="rId22" Type="http://schemas.openxmlformats.org/officeDocument/2006/relationships/image" Target="../media/image54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56.png"/><Relationship Id="rId3" Type="http://schemas.openxmlformats.org/officeDocument/2006/relationships/image" Target="../media/image3.png"/><Relationship Id="rId7" Type="http://schemas.openxmlformats.org/officeDocument/2006/relationships/image" Target="../media/image62.png"/><Relationship Id="rId12" Type="http://schemas.openxmlformats.org/officeDocument/2006/relationships/image" Target="../media/image66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1.png"/><Relationship Id="rId11" Type="http://schemas.openxmlformats.org/officeDocument/2006/relationships/image" Target="../media/image65.png"/><Relationship Id="rId5" Type="http://schemas.openxmlformats.org/officeDocument/2006/relationships/image" Target="../media/image60.png"/><Relationship Id="rId10" Type="http://schemas.openxmlformats.org/officeDocument/2006/relationships/image" Target="../media/image52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4" Type="http://schemas.openxmlformats.org/officeDocument/2006/relationships/image" Target="../media/image7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.png"/><Relationship Id="rId13" Type="http://schemas.openxmlformats.org/officeDocument/2006/relationships/image" Target="../media/image80.png"/><Relationship Id="rId3" Type="http://schemas.openxmlformats.org/officeDocument/2006/relationships/image" Target="../media/image71.png"/><Relationship Id="rId7" Type="http://schemas.openxmlformats.org/officeDocument/2006/relationships/image" Target="../media/image74.png"/><Relationship Id="rId12" Type="http://schemas.openxmlformats.org/officeDocument/2006/relationships/image" Target="../media/image79.png"/><Relationship Id="rId17" Type="http://schemas.openxmlformats.org/officeDocument/2006/relationships/image" Target="../media/image84.png"/><Relationship Id="rId2" Type="http://schemas.openxmlformats.org/officeDocument/2006/relationships/image" Target="../media/image15.png"/><Relationship Id="rId16" Type="http://schemas.openxmlformats.org/officeDocument/2006/relationships/image" Target="../media/image83.png"/><Relationship Id="rId1" Type="http://schemas.openxmlformats.org/officeDocument/2006/relationships/image" Target="../media/image14.png"/><Relationship Id="rId6" Type="http://schemas.openxmlformats.org/officeDocument/2006/relationships/image" Target="../media/image73.png"/><Relationship Id="rId11" Type="http://schemas.openxmlformats.org/officeDocument/2006/relationships/image" Target="../media/image78.png"/><Relationship Id="rId5" Type="http://schemas.openxmlformats.org/officeDocument/2006/relationships/image" Target="../media/image72.png"/><Relationship Id="rId15" Type="http://schemas.openxmlformats.org/officeDocument/2006/relationships/image" Target="../media/image82.png"/><Relationship Id="rId10" Type="http://schemas.openxmlformats.org/officeDocument/2006/relationships/image" Target="../media/image77.png"/><Relationship Id="rId4" Type="http://schemas.openxmlformats.org/officeDocument/2006/relationships/image" Target="../media/image56.png"/><Relationship Id="rId9" Type="http://schemas.openxmlformats.org/officeDocument/2006/relationships/image" Target="../media/image76.png"/><Relationship Id="rId14" Type="http://schemas.openxmlformats.org/officeDocument/2006/relationships/image" Target="../media/image81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5" Type="http://schemas.openxmlformats.org/officeDocument/2006/relationships/image" Target="../media/image92.png"/><Relationship Id="rId4" Type="http://schemas.openxmlformats.org/officeDocument/2006/relationships/image" Target="../media/image91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251909</xdr:colOff>
      <xdr:row>6</xdr:row>
      <xdr:rowOff>182880</xdr:rowOff>
    </xdr:from>
    <xdr:ext cx="2601621" cy="1966504"/>
    <xdr:pic>
      <xdr:nvPicPr>
        <xdr:cNvPr id="2" name="Picture 1">
          <a:extLst>
            <a:ext uri="{FF2B5EF4-FFF2-40B4-BE49-F238E27FC236}">
              <a16:creationId xmlns:a16="http://schemas.microsoft.com/office/drawing/2014/main" id="{ED4DFBEC-D840-43C3-9F82-A3BE2CD55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990269" y="1371600"/>
          <a:ext cx="2601621" cy="19665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11</xdr:col>
      <xdr:colOff>12999</xdr:colOff>
      <xdr:row>23</xdr:row>
      <xdr:rowOff>38530</xdr:rowOff>
    </xdr:from>
    <xdr:ext cx="4443355" cy="4192697"/>
    <xdr:pic>
      <xdr:nvPicPr>
        <xdr:cNvPr id="3" name="Picture 1">
          <a:extLst>
            <a:ext uri="{FF2B5EF4-FFF2-40B4-BE49-F238E27FC236}">
              <a16:creationId xmlns:a16="http://schemas.microsoft.com/office/drawing/2014/main" id="{E4E3D53F-E2E6-4921-ABFB-07DACF221C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501679" y="4717210"/>
          <a:ext cx="4443355" cy="41926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209550</xdr:colOff>
      <xdr:row>61</xdr:row>
      <xdr:rowOff>123825</xdr:rowOff>
    </xdr:from>
    <xdr:ext cx="4839821" cy="4835898"/>
    <xdr:pic>
      <xdr:nvPicPr>
        <xdr:cNvPr id="2" name="Picture 1">
          <a:extLst>
            <a:ext uri="{FF2B5EF4-FFF2-40B4-BE49-F238E27FC236}">
              <a16:creationId xmlns:a16="http://schemas.microsoft.com/office/drawing/2014/main" id="{6FE7B051-11F0-47C4-BF94-4FBBB873CA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833110" y="8353425"/>
          <a:ext cx="4839821" cy="48358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179294</xdr:colOff>
      <xdr:row>1</xdr:row>
      <xdr:rowOff>0</xdr:rowOff>
    </xdr:from>
    <xdr:ext cx="5743575" cy="5057214"/>
    <xdr:pic>
      <xdr:nvPicPr>
        <xdr:cNvPr id="3" name="Picture 2">
          <a:extLst>
            <a:ext uri="{FF2B5EF4-FFF2-40B4-BE49-F238E27FC236}">
              <a16:creationId xmlns:a16="http://schemas.microsoft.com/office/drawing/2014/main" id="{08267C3F-0562-43FC-8771-AF9572AD9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802854" y="182880"/>
          <a:ext cx="5743575" cy="505721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485775</xdr:colOff>
      <xdr:row>2</xdr:row>
      <xdr:rowOff>28575</xdr:rowOff>
    </xdr:from>
    <xdr:ext cx="4195142" cy="3467100"/>
    <xdr:pic>
      <xdr:nvPicPr>
        <xdr:cNvPr id="2" name="Picture 1">
          <a:extLst>
            <a:ext uri="{FF2B5EF4-FFF2-40B4-BE49-F238E27FC236}">
              <a16:creationId xmlns:a16="http://schemas.microsoft.com/office/drawing/2014/main" id="{B8348250-BBC3-436F-A573-B21B380773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109335" y="394335"/>
          <a:ext cx="4195142" cy="3467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11</xdr:col>
      <xdr:colOff>455959</xdr:colOff>
      <xdr:row>26</xdr:row>
      <xdr:rowOff>49696</xdr:rowOff>
    </xdr:from>
    <xdr:ext cx="4726666" cy="4203548"/>
    <xdr:pic>
      <xdr:nvPicPr>
        <xdr:cNvPr id="3" name="Picture 2">
          <a:extLst>
            <a:ext uri="{FF2B5EF4-FFF2-40B4-BE49-F238E27FC236}">
              <a16:creationId xmlns:a16="http://schemas.microsoft.com/office/drawing/2014/main" id="{8A7575DA-4CDF-473E-9A64-69FE6C129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533159" y="5278921"/>
          <a:ext cx="4726666" cy="42035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272415</xdr:colOff>
      <xdr:row>2</xdr:row>
      <xdr:rowOff>192068</xdr:rowOff>
    </xdr:from>
    <xdr:ext cx="3863340" cy="3490296"/>
    <xdr:pic>
      <xdr:nvPicPr>
        <xdr:cNvPr id="2" name="Picture 1">
          <a:extLst>
            <a:ext uri="{FF2B5EF4-FFF2-40B4-BE49-F238E27FC236}">
              <a16:creationId xmlns:a16="http://schemas.microsoft.com/office/drawing/2014/main" id="{3329A30C-EB50-4BAA-A877-1144E63538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844915" y="588308"/>
          <a:ext cx="3863340" cy="349029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771525</xdr:colOff>
      <xdr:row>9</xdr:row>
      <xdr:rowOff>66675</xdr:rowOff>
    </xdr:from>
    <xdr:ext cx="2591293" cy="2133599"/>
    <xdr:pic>
      <xdr:nvPicPr>
        <xdr:cNvPr id="2" name="Picture 1">
          <a:extLst>
            <a:ext uri="{FF2B5EF4-FFF2-40B4-BE49-F238E27FC236}">
              <a16:creationId xmlns:a16="http://schemas.microsoft.com/office/drawing/2014/main" id="{B3E94698-1CC0-41FA-9B87-FF1CA4C2CA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250305" y="432435"/>
          <a:ext cx="2591293" cy="21335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17</xdr:col>
      <xdr:colOff>66675</xdr:colOff>
      <xdr:row>3</xdr:row>
      <xdr:rowOff>161925</xdr:rowOff>
    </xdr:from>
    <xdr:ext cx="3415665" cy="2353130"/>
    <xdr:pic>
      <xdr:nvPicPr>
        <xdr:cNvPr id="2" name="Picture 1">
          <a:extLst>
            <a:ext uri="{FF2B5EF4-FFF2-40B4-BE49-F238E27FC236}">
              <a16:creationId xmlns:a16="http://schemas.microsoft.com/office/drawing/2014/main" id="{881E6592-3D6A-4085-A3AE-F396864523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814435" y="710565"/>
          <a:ext cx="3415665" cy="23531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604911</xdr:colOff>
      <xdr:row>35</xdr:row>
      <xdr:rowOff>26413</xdr:rowOff>
    </xdr:from>
    <xdr:ext cx="4110829" cy="3220539"/>
    <xdr:pic>
      <xdr:nvPicPr>
        <xdr:cNvPr id="3" name="Picture 2">
          <a:extLst>
            <a:ext uri="{FF2B5EF4-FFF2-40B4-BE49-F238E27FC236}">
              <a16:creationId xmlns:a16="http://schemas.microsoft.com/office/drawing/2014/main" id="{4EC665AA-C1E0-4A36-986A-1DDD3F25D0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228471" y="6610093"/>
          <a:ext cx="4110829" cy="32205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570218</xdr:colOff>
      <xdr:row>14</xdr:row>
      <xdr:rowOff>145437</xdr:rowOff>
    </xdr:from>
    <xdr:ext cx="4196028" cy="3561510"/>
    <xdr:pic>
      <xdr:nvPicPr>
        <xdr:cNvPr id="4" name="Picture 3">
          <a:extLst>
            <a:ext uri="{FF2B5EF4-FFF2-40B4-BE49-F238E27FC236}">
              <a16:creationId xmlns:a16="http://schemas.microsoft.com/office/drawing/2014/main" id="{5C331FA3-AF24-46E3-9D54-175BA330B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193778" y="2888637"/>
          <a:ext cx="4196028" cy="35615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145676</xdr:colOff>
      <xdr:row>11</xdr:row>
      <xdr:rowOff>129588</xdr:rowOff>
    </xdr:from>
    <xdr:ext cx="5935932" cy="1596320"/>
    <xdr:pic>
      <xdr:nvPicPr>
        <xdr:cNvPr id="2" name="Picture 1">
          <a:extLst>
            <a:ext uri="{FF2B5EF4-FFF2-40B4-BE49-F238E27FC236}">
              <a16:creationId xmlns:a16="http://schemas.microsoft.com/office/drawing/2014/main" id="{4A44E3CD-3DF1-45C4-8BB7-B5546E6BC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43756" y="2141268"/>
          <a:ext cx="5935932" cy="1596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15</xdr:col>
      <xdr:colOff>743173</xdr:colOff>
      <xdr:row>12</xdr:row>
      <xdr:rowOff>53261</xdr:rowOff>
    </xdr:from>
    <xdr:ext cx="4581338" cy="3616190"/>
    <xdr:pic>
      <xdr:nvPicPr>
        <xdr:cNvPr id="3" name="Picture 2">
          <a:extLst>
            <a:ext uri="{FF2B5EF4-FFF2-40B4-BE49-F238E27FC236}">
              <a16:creationId xmlns:a16="http://schemas.microsoft.com/office/drawing/2014/main" id="{6663F39A-9306-4DAE-896D-BAACBA0148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993853" y="2247821"/>
          <a:ext cx="4581338" cy="36161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449772</xdr:colOff>
      <xdr:row>4</xdr:row>
      <xdr:rowOff>73959</xdr:rowOff>
    </xdr:from>
    <xdr:ext cx="7602041" cy="5241288"/>
    <xdr:pic>
      <xdr:nvPicPr>
        <xdr:cNvPr id="2" name="Picture 1">
          <a:extLst>
            <a:ext uri="{FF2B5EF4-FFF2-40B4-BE49-F238E27FC236}">
              <a16:creationId xmlns:a16="http://schemas.microsoft.com/office/drawing/2014/main" id="{95AA6E19-D709-42F4-89D7-F8B632D571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696892" y="805479"/>
          <a:ext cx="7602041" cy="52412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285750</xdr:colOff>
      <xdr:row>0</xdr:row>
      <xdr:rowOff>95250</xdr:rowOff>
    </xdr:from>
    <xdr:ext cx="5267325" cy="4695265"/>
    <xdr:pic>
      <xdr:nvPicPr>
        <xdr:cNvPr id="2" name="Picture 1">
          <a:extLst>
            <a:ext uri="{FF2B5EF4-FFF2-40B4-BE49-F238E27FC236}">
              <a16:creationId xmlns:a16="http://schemas.microsoft.com/office/drawing/2014/main" id="{A098DE9C-BDE6-4C77-8F8D-2F1AEC7C3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909310" y="95250"/>
          <a:ext cx="5267325" cy="46952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428625</xdr:colOff>
      <xdr:row>28</xdr:row>
      <xdr:rowOff>47625</xdr:rowOff>
    </xdr:from>
    <xdr:ext cx="5419725" cy="4685180"/>
    <xdr:pic>
      <xdr:nvPicPr>
        <xdr:cNvPr id="3" name="Picture 2">
          <a:extLst>
            <a:ext uri="{FF2B5EF4-FFF2-40B4-BE49-F238E27FC236}">
              <a16:creationId xmlns:a16="http://schemas.microsoft.com/office/drawing/2014/main" id="{C0D1B926-A153-41B7-BB94-4D04F96724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52185" y="5351145"/>
          <a:ext cx="5419725" cy="4685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224117</xdr:colOff>
      <xdr:row>0</xdr:row>
      <xdr:rowOff>153880</xdr:rowOff>
    </xdr:from>
    <xdr:ext cx="5067300" cy="2661597"/>
    <xdr:pic>
      <xdr:nvPicPr>
        <xdr:cNvPr id="2" name="Picture 1">
          <a:extLst>
            <a:ext uri="{FF2B5EF4-FFF2-40B4-BE49-F238E27FC236}">
              <a16:creationId xmlns:a16="http://schemas.microsoft.com/office/drawing/2014/main" id="{4866F1FC-A546-4F6F-BD6D-56CB8133E2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472517" y="153880"/>
          <a:ext cx="5067300" cy="26615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1</xdr:row>
      <xdr:rowOff>0</xdr:rowOff>
    </xdr:from>
    <xdr:to>
      <xdr:col>28</xdr:col>
      <xdr:colOff>96907</xdr:colOff>
      <xdr:row>15</xdr:row>
      <xdr:rowOff>91524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B57767-F039-472B-A477-C3B33F8FA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862060" y="198120"/>
          <a:ext cx="8349367" cy="28956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0</xdr:colOff>
      <xdr:row>18</xdr:row>
      <xdr:rowOff>108856</xdr:rowOff>
    </xdr:from>
    <xdr:to>
      <xdr:col>24</xdr:col>
      <xdr:colOff>322430</xdr:colOff>
      <xdr:row>45</xdr:row>
      <xdr:rowOff>142881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2420CC-CC0C-4444-8923-1C9B57E095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862060" y="3705496"/>
          <a:ext cx="6075530" cy="53832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487680</xdr:colOff>
      <xdr:row>0</xdr:row>
      <xdr:rowOff>0</xdr:rowOff>
    </xdr:from>
    <xdr:ext cx="3615691" cy="2103220"/>
    <xdr:pic>
      <xdr:nvPicPr>
        <xdr:cNvPr id="2" name="Picture 2">
          <a:extLst>
            <a:ext uri="{FF2B5EF4-FFF2-40B4-BE49-F238E27FC236}">
              <a16:creationId xmlns:a16="http://schemas.microsoft.com/office/drawing/2014/main" id="{56962844-4F36-45D8-83B5-B183FEA26F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797540" y="0"/>
          <a:ext cx="3615691" cy="21032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13</xdr:col>
      <xdr:colOff>750570</xdr:colOff>
      <xdr:row>6</xdr:row>
      <xdr:rowOff>61072</xdr:rowOff>
    </xdr:from>
    <xdr:ext cx="6085915" cy="3679676"/>
    <xdr:pic>
      <xdr:nvPicPr>
        <xdr:cNvPr id="3" name="Picture 1">
          <a:extLst>
            <a:ext uri="{FF2B5EF4-FFF2-40B4-BE49-F238E27FC236}">
              <a16:creationId xmlns:a16="http://schemas.microsoft.com/office/drawing/2014/main" id="{96D67C2B-1218-4EC1-A77A-F11B0514C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1060430" y="1249792"/>
          <a:ext cx="6085915" cy="36796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390525</xdr:colOff>
      <xdr:row>33</xdr:row>
      <xdr:rowOff>180975</xdr:rowOff>
    </xdr:from>
    <xdr:ext cx="3048000" cy="3057525"/>
    <xdr:pic>
      <xdr:nvPicPr>
        <xdr:cNvPr id="4" name="Picture 1">
          <a:extLst>
            <a:ext uri="{FF2B5EF4-FFF2-40B4-BE49-F238E27FC236}">
              <a16:creationId xmlns:a16="http://schemas.microsoft.com/office/drawing/2014/main" id="{95FA4297-4D89-416B-95B9-CD58F43A6C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0075545" y="6909435"/>
          <a:ext cx="3048000" cy="3057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276225</xdr:colOff>
      <xdr:row>55</xdr:row>
      <xdr:rowOff>117577</xdr:rowOff>
    </xdr:from>
    <xdr:ext cx="1992630" cy="2112351"/>
    <xdr:pic>
      <xdr:nvPicPr>
        <xdr:cNvPr id="5" name="Picture 2">
          <a:extLst>
            <a:ext uri="{FF2B5EF4-FFF2-40B4-BE49-F238E27FC236}">
              <a16:creationId xmlns:a16="http://schemas.microsoft.com/office/drawing/2014/main" id="{7BF5E894-435B-44F9-B607-434C24CA1A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961245" y="11296117"/>
          <a:ext cx="1992630" cy="211235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15</xdr:col>
      <xdr:colOff>406855</xdr:colOff>
      <xdr:row>0</xdr:row>
      <xdr:rowOff>130627</xdr:rowOff>
    </xdr:from>
    <xdr:ext cx="4725892" cy="5629003"/>
    <xdr:pic>
      <xdr:nvPicPr>
        <xdr:cNvPr id="2" name="Picture 1">
          <a:extLst>
            <a:ext uri="{FF2B5EF4-FFF2-40B4-BE49-F238E27FC236}">
              <a16:creationId xmlns:a16="http://schemas.microsoft.com/office/drawing/2014/main" id="{8DEED07C-A4B4-421F-9D47-AEE66976C8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351455" y="130627"/>
          <a:ext cx="4725892" cy="562900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6</xdr:col>
      <xdr:colOff>685801</xdr:colOff>
      <xdr:row>83</xdr:row>
      <xdr:rowOff>57150</xdr:rowOff>
    </xdr:from>
    <xdr:ext cx="2584812" cy="2839781"/>
    <xdr:pic>
      <xdr:nvPicPr>
        <xdr:cNvPr id="3" name="Picture 4">
          <a:extLst>
            <a:ext uri="{FF2B5EF4-FFF2-40B4-BE49-F238E27FC236}">
              <a16:creationId xmlns:a16="http://schemas.microsoft.com/office/drawing/2014/main" id="{42143756-9351-4C29-B0CF-005F62DE3A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61761" y="17034510"/>
          <a:ext cx="2584812" cy="283978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38100</xdr:colOff>
      <xdr:row>99</xdr:row>
      <xdr:rowOff>133350</xdr:rowOff>
    </xdr:from>
    <xdr:ext cx="3292929" cy="3075215"/>
    <xdr:pic>
      <xdr:nvPicPr>
        <xdr:cNvPr id="4" name="Picture 6">
          <a:extLst>
            <a:ext uri="{FF2B5EF4-FFF2-40B4-BE49-F238E27FC236}">
              <a16:creationId xmlns:a16="http://schemas.microsoft.com/office/drawing/2014/main" id="{36D81DB6-3960-4685-9E8D-8F7E25C5B9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717280" y="20333970"/>
          <a:ext cx="3292929" cy="30752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333376</xdr:colOff>
      <xdr:row>116</xdr:row>
      <xdr:rowOff>115734</xdr:rowOff>
    </xdr:from>
    <xdr:ext cx="3934914" cy="1991816"/>
    <xdr:pic>
      <xdr:nvPicPr>
        <xdr:cNvPr id="5" name="Picture 7">
          <a:extLst>
            <a:ext uri="{FF2B5EF4-FFF2-40B4-BE49-F238E27FC236}">
              <a16:creationId xmlns:a16="http://schemas.microsoft.com/office/drawing/2014/main" id="{F0728B6D-E074-49C8-8994-A2396E3E7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151496" y="23547234"/>
          <a:ext cx="3934914" cy="199181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133349</xdr:colOff>
      <xdr:row>126</xdr:row>
      <xdr:rowOff>123826</xdr:rowOff>
    </xdr:from>
    <xdr:ext cx="4439739" cy="1951068"/>
    <xdr:pic>
      <xdr:nvPicPr>
        <xdr:cNvPr id="6" name="Picture 8">
          <a:extLst>
            <a:ext uri="{FF2B5EF4-FFF2-40B4-BE49-F238E27FC236}">
              <a16:creationId xmlns:a16="http://schemas.microsoft.com/office/drawing/2014/main" id="{CF3D0C47-8CC9-448B-A96F-8D81BD9A6C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951469" y="25429846"/>
          <a:ext cx="4439739" cy="195106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95249</xdr:colOff>
      <xdr:row>138</xdr:row>
      <xdr:rowOff>9526</xdr:rowOff>
    </xdr:from>
    <xdr:ext cx="1457052" cy="1370227"/>
    <xdr:pic>
      <xdr:nvPicPr>
        <xdr:cNvPr id="7" name="Picture 9">
          <a:extLst>
            <a:ext uri="{FF2B5EF4-FFF2-40B4-BE49-F238E27FC236}">
              <a16:creationId xmlns:a16="http://schemas.microsoft.com/office/drawing/2014/main" id="{FED45FB2-4BB0-4CB0-9ABC-BB07FE7637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913369" y="27571066"/>
          <a:ext cx="1457052" cy="137022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737507</xdr:colOff>
      <xdr:row>139</xdr:row>
      <xdr:rowOff>182336</xdr:rowOff>
    </xdr:from>
    <xdr:ext cx="3571874" cy="1177447"/>
    <xdr:pic>
      <xdr:nvPicPr>
        <xdr:cNvPr id="8" name="Picture 7">
          <a:extLst>
            <a:ext uri="{FF2B5EF4-FFF2-40B4-BE49-F238E27FC236}">
              <a16:creationId xmlns:a16="http://schemas.microsoft.com/office/drawing/2014/main" id="{C6070E02-66FC-4DA2-8C4A-FFDB5BF8A3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9416687" y="27926756"/>
          <a:ext cx="3571874" cy="11774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14</xdr:col>
      <xdr:colOff>660068</xdr:colOff>
      <xdr:row>150</xdr:row>
      <xdr:rowOff>187779</xdr:rowOff>
    </xdr:from>
    <xdr:ext cx="5213509" cy="2437855"/>
    <xdr:pic>
      <xdr:nvPicPr>
        <xdr:cNvPr id="9" name="Picture 2">
          <a:extLst>
            <a:ext uri="{FF2B5EF4-FFF2-40B4-BE49-F238E27FC236}">
              <a16:creationId xmlns:a16="http://schemas.microsoft.com/office/drawing/2014/main" id="{A9F7A8D3-D631-451E-8F0B-16685EBBE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3073048" y="29951499"/>
          <a:ext cx="5213509" cy="24378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513732</xdr:colOff>
      <xdr:row>154</xdr:row>
      <xdr:rowOff>100694</xdr:rowOff>
    </xdr:from>
    <xdr:ext cx="3873211" cy="1381784"/>
    <xdr:pic>
      <xdr:nvPicPr>
        <xdr:cNvPr id="10" name="Picture 4">
          <a:extLst>
            <a:ext uri="{FF2B5EF4-FFF2-40B4-BE49-F238E27FC236}">
              <a16:creationId xmlns:a16="http://schemas.microsoft.com/office/drawing/2014/main" id="{808AC012-7898-46A8-B307-1F81EC76D3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192912" y="30603554"/>
          <a:ext cx="3873211" cy="13817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6</xdr:col>
      <xdr:colOff>485776</xdr:colOff>
      <xdr:row>144</xdr:row>
      <xdr:rowOff>152400</xdr:rowOff>
    </xdr:from>
    <xdr:ext cx="2531744" cy="2236669"/>
    <xdr:pic>
      <xdr:nvPicPr>
        <xdr:cNvPr id="11" name="Picture 5">
          <a:extLst>
            <a:ext uri="{FF2B5EF4-FFF2-40B4-BE49-F238E27FC236}">
              <a16:creationId xmlns:a16="http://schemas.microsoft.com/office/drawing/2014/main" id="{B1855A9D-1F24-4196-B406-58E6735D19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6261736" y="28826460"/>
          <a:ext cx="2531744" cy="223666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6</xdr:col>
      <xdr:colOff>123825</xdr:colOff>
      <xdr:row>159</xdr:row>
      <xdr:rowOff>114301</xdr:rowOff>
    </xdr:from>
    <xdr:ext cx="2442211" cy="1378816"/>
    <xdr:pic>
      <xdr:nvPicPr>
        <xdr:cNvPr id="12" name="Picture 6">
          <a:extLst>
            <a:ext uri="{FF2B5EF4-FFF2-40B4-BE49-F238E27FC236}">
              <a16:creationId xmlns:a16="http://schemas.microsoft.com/office/drawing/2014/main" id="{D2FEC4F0-9371-4DE2-986B-BCD0D7DA88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899785" y="31546801"/>
          <a:ext cx="2442211" cy="137881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6</xdr:col>
      <xdr:colOff>514350</xdr:colOff>
      <xdr:row>167</xdr:row>
      <xdr:rowOff>142875</xdr:rowOff>
    </xdr:from>
    <xdr:ext cx="2579370" cy="1259265"/>
    <xdr:pic>
      <xdr:nvPicPr>
        <xdr:cNvPr id="13" name="Picture 8">
          <a:extLst>
            <a:ext uri="{FF2B5EF4-FFF2-40B4-BE49-F238E27FC236}">
              <a16:creationId xmlns:a16="http://schemas.microsoft.com/office/drawing/2014/main" id="{6650493A-6BD5-44C5-9264-39B12959E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290310" y="33068895"/>
          <a:ext cx="2579370" cy="12592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762000</xdr:colOff>
      <xdr:row>164</xdr:row>
      <xdr:rowOff>122465</xdr:rowOff>
    </xdr:from>
    <xdr:ext cx="2916012" cy="1425443"/>
    <xdr:pic>
      <xdr:nvPicPr>
        <xdr:cNvPr id="14" name="Picture 9">
          <a:extLst>
            <a:ext uri="{FF2B5EF4-FFF2-40B4-BE49-F238E27FC236}">
              <a16:creationId xmlns:a16="http://schemas.microsoft.com/office/drawing/2014/main" id="{9291F0B6-A714-4027-8B93-DEB9C1969A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441180" y="32484605"/>
          <a:ext cx="2916012" cy="14254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11</xdr:col>
      <xdr:colOff>223158</xdr:colOff>
      <xdr:row>173</xdr:row>
      <xdr:rowOff>133351</xdr:rowOff>
    </xdr:from>
    <xdr:ext cx="1320164" cy="1436269"/>
    <xdr:pic>
      <xdr:nvPicPr>
        <xdr:cNvPr id="15" name="Picture 10">
          <a:extLst>
            <a:ext uri="{FF2B5EF4-FFF2-40B4-BE49-F238E27FC236}">
              <a16:creationId xmlns:a16="http://schemas.microsoft.com/office/drawing/2014/main" id="{6C9809EA-8988-4E74-96CE-67C772671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10372998" y="34202371"/>
          <a:ext cx="1320164" cy="143626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0</xdr:col>
      <xdr:colOff>0</xdr:colOff>
      <xdr:row>136</xdr:row>
      <xdr:rowOff>9525</xdr:rowOff>
    </xdr:from>
    <xdr:ext cx="1762126" cy="1417381"/>
    <xdr:pic>
      <xdr:nvPicPr>
        <xdr:cNvPr id="16" name="Picture 11">
          <a:extLst>
            <a:ext uri="{FF2B5EF4-FFF2-40B4-BE49-F238E27FC236}">
              <a16:creationId xmlns:a16="http://schemas.microsoft.com/office/drawing/2014/main" id="{CFD331ED-F508-4404-97F7-6CDF9FE2AF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27205305"/>
          <a:ext cx="1762126" cy="141738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2</xdr:col>
      <xdr:colOff>590550</xdr:colOff>
      <xdr:row>139</xdr:row>
      <xdr:rowOff>76201</xdr:rowOff>
    </xdr:from>
    <xdr:ext cx="1495426" cy="969015"/>
    <xdr:pic>
      <xdr:nvPicPr>
        <xdr:cNvPr id="17" name="Picture 12">
          <a:extLst>
            <a:ext uri="{FF2B5EF4-FFF2-40B4-BE49-F238E27FC236}">
              <a16:creationId xmlns:a16="http://schemas.microsoft.com/office/drawing/2014/main" id="{FF35BD7B-DFE7-4849-A683-DEA90B3ABC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771650" y="27820621"/>
          <a:ext cx="1495426" cy="969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3</xdr:col>
      <xdr:colOff>361950</xdr:colOff>
      <xdr:row>140</xdr:row>
      <xdr:rowOff>76201</xdr:rowOff>
    </xdr:from>
    <xdr:ext cx="1716678" cy="837900"/>
    <xdr:pic>
      <xdr:nvPicPr>
        <xdr:cNvPr id="18" name="Picture 13">
          <a:extLst>
            <a:ext uri="{FF2B5EF4-FFF2-40B4-BE49-F238E27FC236}">
              <a16:creationId xmlns:a16="http://schemas.microsoft.com/office/drawing/2014/main" id="{99EF2A2E-4861-48B3-A6E8-73A4AECAE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3989070" y="28003501"/>
          <a:ext cx="1716678" cy="83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6</xdr:col>
      <xdr:colOff>47625</xdr:colOff>
      <xdr:row>0</xdr:row>
      <xdr:rowOff>0</xdr:rowOff>
    </xdr:from>
    <xdr:ext cx="2604135" cy="1773555"/>
    <xdr:pic>
      <xdr:nvPicPr>
        <xdr:cNvPr id="19" name="Picture 1">
          <a:extLst>
            <a:ext uri="{FF2B5EF4-FFF2-40B4-BE49-F238E27FC236}">
              <a16:creationId xmlns:a16="http://schemas.microsoft.com/office/drawing/2014/main" id="{C409C0CF-F9E0-4BD2-A792-C8E578A65B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5823585" y="0"/>
          <a:ext cx="2604135" cy="17735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</xdr:col>
      <xdr:colOff>66675</xdr:colOff>
      <xdr:row>44</xdr:row>
      <xdr:rowOff>19050</xdr:rowOff>
    </xdr:from>
    <xdr:ext cx="662305" cy="1252311"/>
    <xdr:pic>
      <xdr:nvPicPr>
        <xdr:cNvPr id="20" name="Picture 19">
          <a:extLst>
            <a:ext uri="{FF2B5EF4-FFF2-40B4-BE49-F238E27FC236}">
              <a16:creationId xmlns:a16="http://schemas.microsoft.com/office/drawing/2014/main" id="{54346DB5-773D-435B-93C1-486A15B95B7A}"/>
            </a:ext>
          </a:extLst>
        </xdr:cNvPr>
        <xdr:cNvPicPr/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523875" y="8942070"/>
          <a:ext cx="662305" cy="125231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0</xdr:col>
      <xdr:colOff>85725</xdr:colOff>
      <xdr:row>61</xdr:row>
      <xdr:rowOff>85727</xdr:rowOff>
    </xdr:from>
    <xdr:ext cx="1028700" cy="559931"/>
    <xdr:pic>
      <xdr:nvPicPr>
        <xdr:cNvPr id="21" name="Picture 5">
          <a:extLst>
            <a:ext uri="{FF2B5EF4-FFF2-40B4-BE49-F238E27FC236}">
              <a16:creationId xmlns:a16="http://schemas.microsoft.com/office/drawing/2014/main" id="{8FFF96BA-AB1F-4AC3-BE31-49C66F77A7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85725" y="12635867"/>
          <a:ext cx="1028700" cy="55993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14</xdr:col>
      <xdr:colOff>816429</xdr:colOff>
      <xdr:row>140</xdr:row>
      <xdr:rowOff>68034</xdr:rowOff>
    </xdr:from>
    <xdr:ext cx="5716360" cy="2335529"/>
    <xdr:pic>
      <xdr:nvPicPr>
        <xdr:cNvPr id="22" name="Picture 1">
          <a:extLst>
            <a:ext uri="{FF2B5EF4-FFF2-40B4-BE49-F238E27FC236}">
              <a16:creationId xmlns:a16="http://schemas.microsoft.com/office/drawing/2014/main" id="{E12908BC-3444-4824-AEEB-7CEF9A1EA5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13229409" y="27995334"/>
          <a:ext cx="5716360" cy="23355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</xdr:col>
      <xdr:colOff>625928</xdr:colOff>
      <xdr:row>162</xdr:row>
      <xdr:rowOff>40821</xdr:rowOff>
    </xdr:from>
    <xdr:ext cx="3540579" cy="4148546"/>
    <xdr:pic>
      <xdr:nvPicPr>
        <xdr:cNvPr id="23" name="Picture 2">
          <a:extLst>
            <a:ext uri="{FF2B5EF4-FFF2-40B4-BE49-F238E27FC236}">
              <a16:creationId xmlns:a16="http://schemas.microsoft.com/office/drawing/2014/main" id="{E8479AF0-4691-463B-B78C-7E4C9FC03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1083128" y="32037201"/>
          <a:ext cx="3540579" cy="41485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10</xdr:col>
      <xdr:colOff>192180</xdr:colOff>
      <xdr:row>279</xdr:row>
      <xdr:rowOff>109258</xdr:rowOff>
    </xdr:from>
    <xdr:ext cx="3486702" cy="3057378"/>
    <xdr:pic>
      <xdr:nvPicPr>
        <xdr:cNvPr id="24" name="Picture 3">
          <a:extLst>
            <a:ext uri="{FF2B5EF4-FFF2-40B4-BE49-F238E27FC236}">
              <a16:creationId xmlns:a16="http://schemas.microsoft.com/office/drawing/2014/main" id="{31F693C9-B4BB-43C9-80E3-8A0EC79CAB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9839100" y="54569398"/>
          <a:ext cx="3486702" cy="305737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285750</xdr:colOff>
      <xdr:row>303</xdr:row>
      <xdr:rowOff>180975</xdr:rowOff>
    </xdr:from>
    <xdr:ext cx="4706471" cy="3755875"/>
    <xdr:pic>
      <xdr:nvPicPr>
        <xdr:cNvPr id="25" name="Picture 1">
          <a:extLst>
            <a:ext uri="{FF2B5EF4-FFF2-40B4-BE49-F238E27FC236}">
              <a16:creationId xmlns:a16="http://schemas.microsoft.com/office/drawing/2014/main" id="{2C575454-2A80-4287-A0C2-6ACF65EF5D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8964930" y="59243595"/>
          <a:ext cx="4706471" cy="3755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681820</xdr:colOff>
      <xdr:row>0</xdr:row>
      <xdr:rowOff>0</xdr:rowOff>
    </xdr:from>
    <xdr:ext cx="4673247" cy="3649980"/>
    <xdr:pic>
      <xdr:nvPicPr>
        <xdr:cNvPr id="2" name="Picture 1">
          <a:extLst>
            <a:ext uri="{FF2B5EF4-FFF2-40B4-BE49-F238E27FC236}">
              <a16:creationId xmlns:a16="http://schemas.microsoft.com/office/drawing/2014/main" id="{82441B00-047C-4FF8-85B2-6E8ACA05E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499940" y="0"/>
          <a:ext cx="4673247" cy="3649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10</xdr:col>
      <xdr:colOff>314325</xdr:colOff>
      <xdr:row>20</xdr:row>
      <xdr:rowOff>152400</xdr:rowOff>
    </xdr:from>
    <xdr:ext cx="5000512" cy="3709035"/>
    <xdr:pic>
      <xdr:nvPicPr>
        <xdr:cNvPr id="3" name="Picture 1">
          <a:extLst>
            <a:ext uri="{FF2B5EF4-FFF2-40B4-BE49-F238E27FC236}">
              <a16:creationId xmlns:a16="http://schemas.microsoft.com/office/drawing/2014/main" id="{89892F05-0955-4F55-9654-4E0CD1D89D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1378565" y="3832860"/>
          <a:ext cx="5000512" cy="37090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47625</xdr:colOff>
      <xdr:row>55</xdr:row>
      <xdr:rowOff>9526</xdr:rowOff>
    </xdr:from>
    <xdr:ext cx="6007138" cy="3240345"/>
    <xdr:pic>
      <xdr:nvPicPr>
        <xdr:cNvPr id="4" name="Picture 2">
          <a:extLst>
            <a:ext uri="{FF2B5EF4-FFF2-40B4-BE49-F238E27FC236}">
              <a16:creationId xmlns:a16="http://schemas.microsoft.com/office/drawing/2014/main" id="{02200048-095C-4291-9811-0242EB2913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65745" y="10913746"/>
          <a:ext cx="6007138" cy="32403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185716</xdr:colOff>
      <xdr:row>71</xdr:row>
      <xdr:rowOff>219075</xdr:rowOff>
    </xdr:from>
    <xdr:ext cx="2864464" cy="2326005"/>
    <xdr:pic>
      <xdr:nvPicPr>
        <xdr:cNvPr id="5" name="Picture 3">
          <a:extLst>
            <a:ext uri="{FF2B5EF4-FFF2-40B4-BE49-F238E27FC236}">
              <a16:creationId xmlns:a16="http://schemas.microsoft.com/office/drawing/2014/main" id="{0D512D79-C734-4187-B61F-4D3CA954A3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03836" y="14437995"/>
          <a:ext cx="2864464" cy="23260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295392</xdr:colOff>
      <xdr:row>74</xdr:row>
      <xdr:rowOff>142874</xdr:rowOff>
    </xdr:from>
    <xdr:ext cx="2782976" cy="1480185"/>
    <xdr:pic>
      <xdr:nvPicPr>
        <xdr:cNvPr id="6" name="Picture 4">
          <a:extLst>
            <a:ext uri="{FF2B5EF4-FFF2-40B4-BE49-F238E27FC236}">
              <a16:creationId xmlns:a16="http://schemas.microsoft.com/office/drawing/2014/main" id="{045546FC-964F-4C56-8285-0065939D5B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2845532" y="15047594"/>
          <a:ext cx="2782976" cy="14801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13</xdr:col>
      <xdr:colOff>323849</xdr:colOff>
      <xdr:row>83</xdr:row>
      <xdr:rowOff>175879</xdr:rowOff>
    </xdr:from>
    <xdr:ext cx="3257739" cy="1382410"/>
    <xdr:pic>
      <xdr:nvPicPr>
        <xdr:cNvPr id="7" name="Picture 5">
          <a:extLst>
            <a:ext uri="{FF2B5EF4-FFF2-40B4-BE49-F238E27FC236}">
              <a16:creationId xmlns:a16="http://schemas.microsoft.com/office/drawing/2014/main" id="{E2E3981C-03DA-4464-94C1-5B4FDB8E09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3811249" y="16863679"/>
          <a:ext cx="3257739" cy="1382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7</xdr:col>
      <xdr:colOff>819150</xdr:colOff>
      <xdr:row>88</xdr:row>
      <xdr:rowOff>109284</xdr:rowOff>
    </xdr:from>
    <xdr:ext cx="3747920" cy="1347391"/>
    <xdr:pic>
      <xdr:nvPicPr>
        <xdr:cNvPr id="8" name="Picture 6">
          <a:extLst>
            <a:ext uri="{FF2B5EF4-FFF2-40B4-BE49-F238E27FC236}">
              <a16:creationId xmlns:a16="http://schemas.microsoft.com/office/drawing/2014/main" id="{3779A7F3-054A-4CE0-B22F-55F73F1C3E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562850" y="17787684"/>
          <a:ext cx="3747920" cy="134739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13</xdr:col>
      <xdr:colOff>557861</xdr:colOff>
      <xdr:row>46</xdr:row>
      <xdr:rowOff>47625</xdr:rowOff>
    </xdr:from>
    <xdr:ext cx="1364568" cy="1567815"/>
    <xdr:pic>
      <xdr:nvPicPr>
        <xdr:cNvPr id="9" name="Picture 2">
          <a:extLst>
            <a:ext uri="{FF2B5EF4-FFF2-40B4-BE49-F238E27FC236}">
              <a16:creationId xmlns:a16="http://schemas.microsoft.com/office/drawing/2014/main" id="{C44DF16A-AEE8-4D3B-BDDD-4729FAF27B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4045261" y="9214485"/>
          <a:ext cx="1364568" cy="1567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255817</xdr:colOff>
      <xdr:row>94</xdr:row>
      <xdr:rowOff>209550</xdr:rowOff>
    </xdr:from>
    <xdr:ext cx="3886999" cy="1935479"/>
    <xdr:pic>
      <xdr:nvPicPr>
        <xdr:cNvPr id="10" name="Picture 1">
          <a:extLst>
            <a:ext uri="{FF2B5EF4-FFF2-40B4-BE49-F238E27FC236}">
              <a16:creationId xmlns:a16="http://schemas.microsoft.com/office/drawing/2014/main" id="{ADA3FD22-BAA7-474D-A747-A8426942D8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073937" y="19122390"/>
          <a:ext cx="3886999" cy="193547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7</xdr:col>
      <xdr:colOff>142875</xdr:colOff>
      <xdr:row>106</xdr:row>
      <xdr:rowOff>114300</xdr:rowOff>
    </xdr:from>
    <xdr:ext cx="1045845" cy="598575"/>
    <xdr:pic>
      <xdr:nvPicPr>
        <xdr:cNvPr id="11" name="Picture 5">
          <a:extLst>
            <a:ext uri="{FF2B5EF4-FFF2-40B4-BE49-F238E27FC236}">
              <a16:creationId xmlns:a16="http://schemas.microsoft.com/office/drawing/2014/main" id="{9C24FDB9-E59D-479A-9AD0-D524433C8D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6886575" y="21518880"/>
          <a:ext cx="1045845" cy="59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590550</xdr:colOff>
      <xdr:row>122</xdr:row>
      <xdr:rowOff>47625</xdr:rowOff>
    </xdr:from>
    <xdr:ext cx="5501736" cy="3265170"/>
    <xdr:pic>
      <xdr:nvPicPr>
        <xdr:cNvPr id="12" name="Picture 11">
          <a:extLst>
            <a:ext uri="{FF2B5EF4-FFF2-40B4-BE49-F238E27FC236}">
              <a16:creationId xmlns:a16="http://schemas.microsoft.com/office/drawing/2014/main" id="{13AEB04D-E5D9-4472-A89E-743E81E5D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8408670" y="24644985"/>
          <a:ext cx="5501736" cy="3265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425822</xdr:colOff>
      <xdr:row>227</xdr:row>
      <xdr:rowOff>78442</xdr:rowOff>
    </xdr:from>
    <xdr:ext cx="4260585" cy="5975648"/>
    <xdr:pic>
      <xdr:nvPicPr>
        <xdr:cNvPr id="13" name="Picture 1">
          <a:extLst>
            <a:ext uri="{FF2B5EF4-FFF2-40B4-BE49-F238E27FC236}">
              <a16:creationId xmlns:a16="http://schemas.microsoft.com/office/drawing/2014/main" id="{4F81744F-4C4B-4284-8827-984BBE37AE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9059282" y="43596262"/>
          <a:ext cx="4260585" cy="59756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1591235</xdr:colOff>
      <xdr:row>259</xdr:row>
      <xdr:rowOff>22412</xdr:rowOff>
    </xdr:from>
    <xdr:ext cx="4746028" cy="3781649"/>
    <xdr:pic>
      <xdr:nvPicPr>
        <xdr:cNvPr id="14" name="Picture 1">
          <a:extLst>
            <a:ext uri="{FF2B5EF4-FFF2-40B4-BE49-F238E27FC236}">
              <a16:creationId xmlns:a16="http://schemas.microsoft.com/office/drawing/2014/main" id="{8267A91B-5DF8-4C2E-8853-BE7276705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10224695" y="49933412"/>
          <a:ext cx="4746028" cy="37816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95251</xdr:colOff>
      <xdr:row>0</xdr:row>
      <xdr:rowOff>0</xdr:rowOff>
    </xdr:from>
    <xdr:ext cx="6867525" cy="3490919"/>
    <xdr:pic>
      <xdr:nvPicPr>
        <xdr:cNvPr id="2" name="Picture 1">
          <a:extLst>
            <a:ext uri="{FF2B5EF4-FFF2-40B4-BE49-F238E27FC236}">
              <a16:creationId xmlns:a16="http://schemas.microsoft.com/office/drawing/2014/main" id="{67356905-4116-49B1-B9A0-300AF93974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415791" y="0"/>
          <a:ext cx="6867525" cy="349091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629919</xdr:colOff>
      <xdr:row>19</xdr:row>
      <xdr:rowOff>19050</xdr:rowOff>
    </xdr:from>
    <xdr:ext cx="5536565" cy="2137410"/>
    <xdr:pic>
      <xdr:nvPicPr>
        <xdr:cNvPr id="3" name="Picture 1">
          <a:extLst>
            <a:ext uri="{FF2B5EF4-FFF2-40B4-BE49-F238E27FC236}">
              <a16:creationId xmlns:a16="http://schemas.microsoft.com/office/drawing/2014/main" id="{48539D27-1ADB-48F7-B259-565A92843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552439" y="3493770"/>
          <a:ext cx="5536565" cy="2137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9525</xdr:colOff>
      <xdr:row>42</xdr:row>
      <xdr:rowOff>76201</xdr:rowOff>
    </xdr:from>
    <xdr:ext cx="5332095" cy="2367428"/>
    <xdr:pic>
      <xdr:nvPicPr>
        <xdr:cNvPr id="4" name="Picture 2">
          <a:extLst>
            <a:ext uri="{FF2B5EF4-FFF2-40B4-BE49-F238E27FC236}">
              <a16:creationId xmlns:a16="http://schemas.microsoft.com/office/drawing/2014/main" id="{4E765239-A84E-438A-B7D8-960B66A12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564505" y="7757161"/>
          <a:ext cx="5332095" cy="236742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304799</xdr:colOff>
      <xdr:row>56</xdr:row>
      <xdr:rowOff>35364</xdr:rowOff>
    </xdr:from>
    <xdr:ext cx="5151120" cy="2965010"/>
    <xdr:pic>
      <xdr:nvPicPr>
        <xdr:cNvPr id="5" name="Picture 1">
          <a:extLst>
            <a:ext uri="{FF2B5EF4-FFF2-40B4-BE49-F238E27FC236}">
              <a16:creationId xmlns:a16="http://schemas.microsoft.com/office/drawing/2014/main" id="{AC02BEAC-9A97-4CD0-8115-860C14CED0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859779" y="10276644"/>
          <a:ext cx="5151120" cy="29650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771525</xdr:colOff>
      <xdr:row>2</xdr:row>
      <xdr:rowOff>66675</xdr:rowOff>
    </xdr:from>
    <xdr:ext cx="2591293" cy="2133599"/>
    <xdr:pic>
      <xdr:nvPicPr>
        <xdr:cNvPr id="2" name="Picture 1">
          <a:extLst>
            <a:ext uri="{FF2B5EF4-FFF2-40B4-BE49-F238E27FC236}">
              <a16:creationId xmlns:a16="http://schemas.microsoft.com/office/drawing/2014/main" id="{5D7F17B7-A457-4C57-B196-CCABCA267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250305" y="432435"/>
          <a:ext cx="2591293" cy="21335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133533</xdr:colOff>
      <xdr:row>13</xdr:row>
      <xdr:rowOff>76200</xdr:rowOff>
    </xdr:from>
    <xdr:ext cx="2497048" cy="2321298"/>
    <xdr:pic>
      <xdr:nvPicPr>
        <xdr:cNvPr id="2" name="Picture 1">
          <a:extLst>
            <a:ext uri="{FF2B5EF4-FFF2-40B4-BE49-F238E27FC236}">
              <a16:creationId xmlns:a16="http://schemas.microsoft.com/office/drawing/2014/main" id="{342FE550-24A8-401E-9F3E-CB8E76B68A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602413" y="2453640"/>
          <a:ext cx="2497048" cy="23212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7</xdr:col>
      <xdr:colOff>514350</xdr:colOff>
      <xdr:row>0</xdr:row>
      <xdr:rowOff>0</xdr:rowOff>
    </xdr:from>
    <xdr:ext cx="7766237" cy="4320955"/>
    <xdr:pic>
      <xdr:nvPicPr>
        <xdr:cNvPr id="3" name="Picture 2">
          <a:extLst>
            <a:ext uri="{FF2B5EF4-FFF2-40B4-BE49-F238E27FC236}">
              <a16:creationId xmlns:a16="http://schemas.microsoft.com/office/drawing/2014/main" id="{1700E8C8-EC00-4CD3-99F0-99F39D152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834890" y="0"/>
          <a:ext cx="7766237" cy="43209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13</xdr:col>
      <xdr:colOff>22412</xdr:colOff>
      <xdr:row>28</xdr:row>
      <xdr:rowOff>112060</xdr:rowOff>
    </xdr:from>
    <xdr:ext cx="784195" cy="2063002"/>
    <xdr:pic>
      <xdr:nvPicPr>
        <xdr:cNvPr id="4" name="Picture 4">
          <a:extLst>
            <a:ext uri="{FF2B5EF4-FFF2-40B4-BE49-F238E27FC236}">
              <a16:creationId xmlns:a16="http://schemas.microsoft.com/office/drawing/2014/main" id="{4AC48A0B-01BE-4150-846F-B6AD73A24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46272" y="5232700"/>
          <a:ext cx="784195" cy="206300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180975</xdr:colOff>
      <xdr:row>42</xdr:row>
      <xdr:rowOff>123825</xdr:rowOff>
    </xdr:from>
    <xdr:ext cx="4729442" cy="3830170"/>
    <xdr:pic>
      <xdr:nvPicPr>
        <xdr:cNvPr id="5" name="Picture 1">
          <a:extLst>
            <a:ext uri="{FF2B5EF4-FFF2-40B4-BE49-F238E27FC236}">
              <a16:creationId xmlns:a16="http://schemas.microsoft.com/office/drawing/2014/main" id="{1755C379-C169-442E-B8DE-E4CABE4D19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735955" y="7804785"/>
          <a:ext cx="4729442" cy="3830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10</xdr:col>
      <xdr:colOff>110938</xdr:colOff>
      <xdr:row>70</xdr:row>
      <xdr:rowOff>100293</xdr:rowOff>
    </xdr:from>
    <xdr:ext cx="3520889" cy="4333315"/>
    <xdr:pic>
      <xdr:nvPicPr>
        <xdr:cNvPr id="6" name="Picture 5">
          <a:extLst>
            <a:ext uri="{FF2B5EF4-FFF2-40B4-BE49-F238E27FC236}">
              <a16:creationId xmlns:a16="http://schemas.microsoft.com/office/drawing/2014/main" id="{93F6A9AC-AF38-46FB-B5ED-AB3A2074D6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283138" y="12901893"/>
          <a:ext cx="3520889" cy="43333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476250</xdr:colOff>
      <xdr:row>176</xdr:row>
      <xdr:rowOff>95250</xdr:rowOff>
    </xdr:from>
    <xdr:ext cx="3575959" cy="4205887"/>
    <xdr:pic>
      <xdr:nvPicPr>
        <xdr:cNvPr id="7" name="Picture 5">
          <a:extLst>
            <a:ext uri="{FF2B5EF4-FFF2-40B4-BE49-F238E27FC236}">
              <a16:creationId xmlns:a16="http://schemas.microsoft.com/office/drawing/2014/main" id="{AD653C95-16C3-449C-A8E3-F17A456E2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414010" y="32282130"/>
          <a:ext cx="3575959" cy="420588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266700</xdr:colOff>
      <xdr:row>172</xdr:row>
      <xdr:rowOff>46734</xdr:rowOff>
    </xdr:from>
    <xdr:ext cx="3533214" cy="2992300"/>
    <xdr:pic>
      <xdr:nvPicPr>
        <xdr:cNvPr id="8" name="Picture 1">
          <a:extLst>
            <a:ext uri="{FF2B5EF4-FFF2-40B4-BE49-F238E27FC236}">
              <a16:creationId xmlns:a16="http://schemas.microsoft.com/office/drawing/2014/main" id="{9F5EEF01-AF79-4AC3-B652-D059583DC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5821680" y="31502094"/>
          <a:ext cx="3533214" cy="2992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0</xdr:col>
      <xdr:colOff>371476</xdr:colOff>
      <xdr:row>173</xdr:row>
      <xdr:rowOff>93667</xdr:rowOff>
    </xdr:from>
    <xdr:ext cx="2421031" cy="1674194"/>
    <xdr:pic>
      <xdr:nvPicPr>
        <xdr:cNvPr id="9" name="Picture 2">
          <a:extLst>
            <a:ext uri="{FF2B5EF4-FFF2-40B4-BE49-F238E27FC236}">
              <a16:creationId xmlns:a16="http://schemas.microsoft.com/office/drawing/2014/main" id="{61B85C47-DEA0-44A0-9CAA-F171D93A4F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371476" y="31731907"/>
          <a:ext cx="2421031" cy="16741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657225</xdr:colOff>
      <xdr:row>207</xdr:row>
      <xdr:rowOff>123825</xdr:rowOff>
    </xdr:from>
    <xdr:ext cx="3031191" cy="1722905"/>
    <xdr:pic>
      <xdr:nvPicPr>
        <xdr:cNvPr id="10" name="Picture 3">
          <a:extLst>
            <a:ext uri="{FF2B5EF4-FFF2-40B4-BE49-F238E27FC236}">
              <a16:creationId xmlns:a16="http://schemas.microsoft.com/office/drawing/2014/main" id="{61ED9CE5-6EFF-46A1-AA83-364086A2B8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5556885" y="37979985"/>
          <a:ext cx="3031191" cy="17229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7</xdr:col>
      <xdr:colOff>1038225</xdr:colOff>
      <xdr:row>183</xdr:row>
      <xdr:rowOff>28575</xdr:rowOff>
    </xdr:from>
    <xdr:ext cx="4504204" cy="3797112"/>
    <xdr:pic>
      <xdr:nvPicPr>
        <xdr:cNvPr id="11" name="Picture 4">
          <a:extLst>
            <a:ext uri="{FF2B5EF4-FFF2-40B4-BE49-F238E27FC236}">
              <a16:creationId xmlns:a16="http://schemas.microsoft.com/office/drawing/2014/main" id="{EA200302-3A2F-4780-9B49-99E9EDDF2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939665" y="33495615"/>
          <a:ext cx="4504204" cy="37971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2</xdr:col>
      <xdr:colOff>2343150</xdr:colOff>
      <xdr:row>174</xdr:row>
      <xdr:rowOff>40881</xdr:rowOff>
    </xdr:from>
    <xdr:ext cx="2216524" cy="1630570"/>
    <xdr:pic>
      <xdr:nvPicPr>
        <xdr:cNvPr id="12" name="Picture 7">
          <a:extLst>
            <a:ext uri="{FF2B5EF4-FFF2-40B4-BE49-F238E27FC236}">
              <a16:creationId xmlns:a16="http://schemas.microsoft.com/office/drawing/2014/main" id="{2DBD3757-4F3F-45F4-90B2-41AA94C09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847850" y="31862001"/>
          <a:ext cx="2216524" cy="1630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5</xdr:col>
      <xdr:colOff>854494</xdr:colOff>
      <xdr:row>173</xdr:row>
      <xdr:rowOff>152400</xdr:rowOff>
    </xdr:from>
    <xdr:ext cx="1837809" cy="1613647"/>
    <xdr:pic>
      <xdr:nvPicPr>
        <xdr:cNvPr id="13" name="Picture 8">
          <a:extLst>
            <a:ext uri="{FF2B5EF4-FFF2-40B4-BE49-F238E27FC236}">
              <a16:creationId xmlns:a16="http://schemas.microsoft.com/office/drawing/2014/main" id="{C2976F2D-C3B9-4AB6-8E18-0A4E48438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3704374" y="31790640"/>
          <a:ext cx="1837809" cy="16136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575423</xdr:colOff>
      <xdr:row>90</xdr:row>
      <xdr:rowOff>43703</xdr:rowOff>
    </xdr:from>
    <xdr:ext cx="2942104" cy="4380939"/>
    <xdr:pic>
      <xdr:nvPicPr>
        <xdr:cNvPr id="14" name="Picture 1">
          <a:extLst>
            <a:ext uri="{FF2B5EF4-FFF2-40B4-BE49-F238E27FC236}">
              <a16:creationId xmlns:a16="http://schemas.microsoft.com/office/drawing/2014/main" id="{B99DA832-74D3-49EC-B8F1-C44CA27582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7982063" y="16502903"/>
          <a:ext cx="2942104" cy="43809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609600</xdr:colOff>
      <xdr:row>217</xdr:row>
      <xdr:rowOff>47625</xdr:rowOff>
    </xdr:from>
    <xdr:ext cx="3078816" cy="4073897"/>
    <xdr:pic>
      <xdr:nvPicPr>
        <xdr:cNvPr id="15" name="Picture 2">
          <a:extLst>
            <a:ext uri="{FF2B5EF4-FFF2-40B4-BE49-F238E27FC236}">
              <a16:creationId xmlns:a16="http://schemas.microsoft.com/office/drawing/2014/main" id="{B76C8E00-4BA0-427E-BD3C-2BD4CC791B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5547360" y="39732585"/>
          <a:ext cx="3078816" cy="40738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285750</xdr:colOff>
      <xdr:row>239</xdr:row>
      <xdr:rowOff>161925</xdr:rowOff>
    </xdr:from>
    <xdr:ext cx="4072778" cy="3028950"/>
    <xdr:pic>
      <xdr:nvPicPr>
        <xdr:cNvPr id="16" name="Picture 3">
          <a:extLst>
            <a:ext uri="{FF2B5EF4-FFF2-40B4-BE49-F238E27FC236}">
              <a16:creationId xmlns:a16="http://schemas.microsoft.com/office/drawing/2014/main" id="{11073B9C-B245-44BF-B429-43EA69AB1A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5223510" y="43870245"/>
          <a:ext cx="4072778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9</xdr:col>
      <xdr:colOff>0</xdr:colOff>
      <xdr:row>256</xdr:row>
      <xdr:rowOff>95250</xdr:rowOff>
    </xdr:from>
    <xdr:ext cx="3189477" cy="3842498"/>
    <xdr:pic>
      <xdr:nvPicPr>
        <xdr:cNvPr id="17" name="Picture 4">
          <a:extLst>
            <a:ext uri="{FF2B5EF4-FFF2-40B4-BE49-F238E27FC236}">
              <a16:creationId xmlns:a16="http://schemas.microsoft.com/office/drawing/2014/main" id="{E390F1C6-0FBF-4464-98F2-BAC41520A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5554980" y="46912530"/>
          <a:ext cx="3189477" cy="38424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10</xdr:col>
      <xdr:colOff>428624</xdr:colOff>
      <xdr:row>81</xdr:row>
      <xdr:rowOff>67451</xdr:rowOff>
    </xdr:from>
    <xdr:ext cx="3730998" cy="3697532"/>
    <xdr:pic>
      <xdr:nvPicPr>
        <xdr:cNvPr id="18" name="Picture 5">
          <a:extLst>
            <a:ext uri="{FF2B5EF4-FFF2-40B4-BE49-F238E27FC236}">
              <a16:creationId xmlns:a16="http://schemas.microsoft.com/office/drawing/2014/main" id="{574B243D-5F9A-4FD5-9AFA-B8BB14728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6600824" y="14880731"/>
          <a:ext cx="3730998" cy="36975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304800</xdr:colOff>
      <xdr:row>1</xdr:row>
      <xdr:rowOff>57150</xdr:rowOff>
    </xdr:from>
    <xdr:ext cx="4772025" cy="3176653"/>
    <xdr:pic>
      <xdr:nvPicPr>
        <xdr:cNvPr id="2" name="Picture 1">
          <a:extLst>
            <a:ext uri="{FF2B5EF4-FFF2-40B4-BE49-F238E27FC236}">
              <a16:creationId xmlns:a16="http://schemas.microsoft.com/office/drawing/2014/main" id="{4AC7ECEC-BCED-4F12-B672-44EFAB2D0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010400" y="240030"/>
          <a:ext cx="4772025" cy="31766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6</xdr:col>
      <xdr:colOff>381000</xdr:colOff>
      <xdr:row>0</xdr:row>
      <xdr:rowOff>1</xdr:rowOff>
    </xdr:from>
    <xdr:ext cx="3230880" cy="2669081"/>
    <xdr:pic>
      <xdr:nvPicPr>
        <xdr:cNvPr id="3" name="Picture 2">
          <a:extLst>
            <a:ext uri="{FF2B5EF4-FFF2-40B4-BE49-F238E27FC236}">
              <a16:creationId xmlns:a16="http://schemas.microsoft.com/office/drawing/2014/main" id="{35F64B7B-36DC-402A-94DC-6797EC65A1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038600" y="1"/>
          <a:ext cx="3230880" cy="266908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6</xdr:col>
      <xdr:colOff>447675</xdr:colOff>
      <xdr:row>20</xdr:row>
      <xdr:rowOff>54715</xdr:rowOff>
    </xdr:from>
    <xdr:ext cx="7964805" cy="1234970"/>
    <xdr:pic>
      <xdr:nvPicPr>
        <xdr:cNvPr id="4" name="Picture 1">
          <a:extLst>
            <a:ext uri="{FF2B5EF4-FFF2-40B4-BE49-F238E27FC236}">
              <a16:creationId xmlns:a16="http://schemas.microsoft.com/office/drawing/2014/main" id="{2C046420-857D-40B3-9A6E-6DE1F3E4C5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105275" y="3712315"/>
          <a:ext cx="7964805" cy="1234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541757</xdr:colOff>
      <xdr:row>0</xdr:row>
      <xdr:rowOff>47624</xdr:rowOff>
    </xdr:from>
    <xdr:ext cx="5055021" cy="4689258"/>
    <xdr:pic>
      <xdr:nvPicPr>
        <xdr:cNvPr id="2" name="Picture 3">
          <a:extLst>
            <a:ext uri="{FF2B5EF4-FFF2-40B4-BE49-F238E27FC236}">
              <a16:creationId xmlns:a16="http://schemas.microsoft.com/office/drawing/2014/main" id="{EFEDA14E-44DF-46A7-86DD-8DAA66DDB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247357" y="47624"/>
          <a:ext cx="5055021" cy="468925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11</xdr:col>
      <xdr:colOff>352425</xdr:colOff>
      <xdr:row>28</xdr:row>
      <xdr:rowOff>142875</xdr:rowOff>
    </xdr:from>
    <xdr:ext cx="7139828" cy="3028950"/>
    <xdr:pic>
      <xdr:nvPicPr>
        <xdr:cNvPr id="3" name="Picture 5">
          <a:extLst>
            <a:ext uri="{FF2B5EF4-FFF2-40B4-BE49-F238E27FC236}">
              <a16:creationId xmlns:a16="http://schemas.microsoft.com/office/drawing/2014/main" id="{2CD71BA5-6FB9-4B9B-B432-0A9417D4AE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58025" y="5263515"/>
          <a:ext cx="7139828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7</xdr:col>
      <xdr:colOff>219076</xdr:colOff>
      <xdr:row>27</xdr:row>
      <xdr:rowOff>182355</xdr:rowOff>
    </xdr:from>
    <xdr:ext cx="3074894" cy="2118952"/>
    <xdr:pic>
      <xdr:nvPicPr>
        <xdr:cNvPr id="4" name="Picture 6">
          <a:extLst>
            <a:ext uri="{FF2B5EF4-FFF2-40B4-BE49-F238E27FC236}">
              <a16:creationId xmlns:a16="http://schemas.microsoft.com/office/drawing/2014/main" id="{521774C7-1FFB-4F5F-9735-7A174378E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486276" y="5120115"/>
          <a:ext cx="3074894" cy="21189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8</xdr:col>
      <xdr:colOff>367629</xdr:colOff>
      <xdr:row>63</xdr:row>
      <xdr:rowOff>180975</xdr:rowOff>
    </xdr:from>
    <xdr:ext cx="4589853" cy="4152900"/>
    <xdr:pic>
      <xdr:nvPicPr>
        <xdr:cNvPr id="5" name="Picture 1">
          <a:extLst>
            <a:ext uri="{FF2B5EF4-FFF2-40B4-BE49-F238E27FC236}">
              <a16:creationId xmlns:a16="http://schemas.microsoft.com/office/drawing/2014/main" id="{CF7C0830-2438-49A6-A97C-33D4B3E6BC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244429" y="11702415"/>
          <a:ext cx="4589853" cy="415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7</xdr:col>
      <xdr:colOff>180975</xdr:colOff>
      <xdr:row>94</xdr:row>
      <xdr:rowOff>32669</xdr:rowOff>
    </xdr:from>
    <xdr:ext cx="6063502" cy="4487784"/>
    <xdr:pic>
      <xdr:nvPicPr>
        <xdr:cNvPr id="6" name="Picture 2">
          <a:extLst>
            <a:ext uri="{FF2B5EF4-FFF2-40B4-BE49-F238E27FC236}">
              <a16:creationId xmlns:a16="http://schemas.microsoft.com/office/drawing/2014/main" id="{AB8FB79E-5EC5-4BA0-A984-64BF8D19B9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448175" y="17223389"/>
          <a:ext cx="6063502" cy="44877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6</xdr:col>
      <xdr:colOff>142874</xdr:colOff>
      <xdr:row>117</xdr:row>
      <xdr:rowOff>100917</xdr:rowOff>
    </xdr:from>
    <xdr:ext cx="7562849" cy="3749984"/>
    <xdr:pic>
      <xdr:nvPicPr>
        <xdr:cNvPr id="7" name="Picture 3">
          <a:extLst>
            <a:ext uri="{FF2B5EF4-FFF2-40B4-BE49-F238E27FC236}">
              <a16:creationId xmlns:a16="http://schemas.microsoft.com/office/drawing/2014/main" id="{F296BBE5-817A-4F41-BA54-6327B9EBBE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3800474" y="21497877"/>
          <a:ext cx="7562849" cy="37499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281938</xdr:colOff>
      <xdr:row>3</xdr:row>
      <xdr:rowOff>76200</xdr:rowOff>
    </xdr:from>
    <xdr:ext cx="11938903" cy="3657600"/>
    <xdr:pic>
      <xdr:nvPicPr>
        <xdr:cNvPr id="2" name="Picture 1">
          <a:extLst>
            <a:ext uri="{FF2B5EF4-FFF2-40B4-BE49-F238E27FC236}">
              <a16:creationId xmlns:a16="http://schemas.microsoft.com/office/drawing/2014/main" id="{DFC88603-3EA5-40EB-AA22-1A4123FBEA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564378" y="624840"/>
          <a:ext cx="11938903" cy="3657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914399</xdr:colOff>
      <xdr:row>0</xdr:row>
      <xdr:rowOff>152400</xdr:rowOff>
    </xdr:from>
    <xdr:ext cx="3977528" cy="2996186"/>
    <xdr:pic>
      <xdr:nvPicPr>
        <xdr:cNvPr id="2" name="Picture 1">
          <a:extLst>
            <a:ext uri="{FF2B5EF4-FFF2-40B4-BE49-F238E27FC236}">
              <a16:creationId xmlns:a16="http://schemas.microsoft.com/office/drawing/2014/main" id="{5C2FE4E6-A587-441F-B49F-F095FCEE3A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851659" y="152400"/>
          <a:ext cx="3977528" cy="29961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7</xdr:col>
      <xdr:colOff>66675</xdr:colOff>
      <xdr:row>6</xdr:row>
      <xdr:rowOff>161925</xdr:rowOff>
    </xdr:from>
    <xdr:ext cx="7845799" cy="5419164"/>
    <xdr:pic>
      <xdr:nvPicPr>
        <xdr:cNvPr id="3" name="Picture 2">
          <a:extLst>
            <a:ext uri="{FF2B5EF4-FFF2-40B4-BE49-F238E27FC236}">
              <a16:creationId xmlns:a16="http://schemas.microsoft.com/office/drawing/2014/main" id="{23B80B3E-C99B-4931-A1AC-D4DD3899D1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387215" y="1259205"/>
          <a:ext cx="7845799" cy="54191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14</xdr:col>
      <xdr:colOff>408214</xdr:colOff>
      <xdr:row>45</xdr:row>
      <xdr:rowOff>88956</xdr:rowOff>
    </xdr:from>
    <xdr:ext cx="2334105" cy="2066070"/>
    <xdr:pic>
      <xdr:nvPicPr>
        <xdr:cNvPr id="4" name="Picture 3">
          <a:extLst>
            <a:ext uri="{FF2B5EF4-FFF2-40B4-BE49-F238E27FC236}">
              <a16:creationId xmlns:a16="http://schemas.microsoft.com/office/drawing/2014/main" id="{C60A6156-386E-42F0-916E-21BACB5854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049294" y="8318556"/>
          <a:ext cx="2334105" cy="20660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238127</xdr:colOff>
      <xdr:row>0</xdr:row>
      <xdr:rowOff>47625</xdr:rowOff>
    </xdr:from>
    <xdr:ext cx="2579863" cy="1954529"/>
    <xdr:pic>
      <xdr:nvPicPr>
        <xdr:cNvPr id="2" name="Picture 1">
          <a:extLst>
            <a:ext uri="{FF2B5EF4-FFF2-40B4-BE49-F238E27FC236}">
              <a16:creationId xmlns:a16="http://schemas.microsoft.com/office/drawing/2014/main" id="{5AF786B2-3C52-45FB-87F1-6FE1FA41F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324227" y="47625"/>
          <a:ext cx="2579863" cy="19545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14</xdr:col>
      <xdr:colOff>7620</xdr:colOff>
      <xdr:row>6</xdr:row>
      <xdr:rowOff>163830</xdr:rowOff>
    </xdr:from>
    <xdr:ext cx="6257925" cy="4211843"/>
    <xdr:pic>
      <xdr:nvPicPr>
        <xdr:cNvPr id="2" name="Picture 1">
          <a:extLst>
            <a:ext uri="{FF2B5EF4-FFF2-40B4-BE49-F238E27FC236}">
              <a16:creationId xmlns:a16="http://schemas.microsoft.com/office/drawing/2014/main" id="{A5B290DD-C757-4201-8764-06F0D99D40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477500" y="689610"/>
          <a:ext cx="6257925" cy="42118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13</xdr:col>
      <xdr:colOff>542925</xdr:colOff>
      <xdr:row>44</xdr:row>
      <xdr:rowOff>47625</xdr:rowOff>
    </xdr:from>
    <xdr:ext cx="2255520" cy="3404235"/>
    <xdr:pic>
      <xdr:nvPicPr>
        <xdr:cNvPr id="3" name="Picture 1">
          <a:extLst>
            <a:ext uri="{FF2B5EF4-FFF2-40B4-BE49-F238E27FC236}">
              <a16:creationId xmlns:a16="http://schemas.microsoft.com/office/drawing/2014/main" id="{C55C3640-E14E-43E6-97C6-3AA98012F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791325" y="7545705"/>
          <a:ext cx="2255520" cy="34042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403411</xdr:colOff>
      <xdr:row>0</xdr:row>
      <xdr:rowOff>64654</xdr:rowOff>
    </xdr:from>
    <xdr:ext cx="5800753" cy="5581431"/>
    <xdr:pic>
      <xdr:nvPicPr>
        <xdr:cNvPr id="2" name="Picture 1">
          <a:extLst>
            <a:ext uri="{FF2B5EF4-FFF2-40B4-BE49-F238E27FC236}">
              <a16:creationId xmlns:a16="http://schemas.microsoft.com/office/drawing/2014/main" id="{C0A1B04B-AA78-48C4-9369-3BBE4849F7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901491" y="64654"/>
          <a:ext cx="5800753" cy="558143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356346</xdr:colOff>
      <xdr:row>52</xdr:row>
      <xdr:rowOff>0</xdr:rowOff>
    </xdr:from>
    <xdr:ext cx="5539516" cy="4209390"/>
    <xdr:pic>
      <xdr:nvPicPr>
        <xdr:cNvPr id="3" name="Picture 1">
          <a:extLst>
            <a:ext uri="{FF2B5EF4-FFF2-40B4-BE49-F238E27FC236}">
              <a16:creationId xmlns:a16="http://schemas.microsoft.com/office/drawing/2014/main" id="{F9A0B8DD-C7D5-49BD-9455-7B95DC3757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54426" y="9509760"/>
          <a:ext cx="5539516" cy="4209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358589</xdr:colOff>
      <xdr:row>3</xdr:row>
      <xdr:rowOff>21628</xdr:rowOff>
    </xdr:from>
    <xdr:ext cx="7135711" cy="4606352"/>
    <xdr:pic>
      <xdr:nvPicPr>
        <xdr:cNvPr id="2" name="Picture 2">
          <a:extLst>
            <a:ext uri="{FF2B5EF4-FFF2-40B4-BE49-F238E27FC236}">
              <a16:creationId xmlns:a16="http://schemas.microsoft.com/office/drawing/2014/main" id="{53FADAB3-2233-4A14-AEA4-7B243EC670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856669" y="570268"/>
          <a:ext cx="7135711" cy="46063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589429</xdr:colOff>
      <xdr:row>1</xdr:row>
      <xdr:rowOff>120464</xdr:rowOff>
    </xdr:from>
    <xdr:ext cx="5842748" cy="3772460"/>
    <xdr:pic>
      <xdr:nvPicPr>
        <xdr:cNvPr id="2" name="Picture 1">
          <a:extLst>
            <a:ext uri="{FF2B5EF4-FFF2-40B4-BE49-F238E27FC236}">
              <a16:creationId xmlns:a16="http://schemas.microsoft.com/office/drawing/2014/main" id="{936BE5C6-AA5D-4396-9ED3-0C5997859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212989" y="303344"/>
          <a:ext cx="5842748" cy="37724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14</xdr:col>
      <xdr:colOff>454958</xdr:colOff>
      <xdr:row>10</xdr:row>
      <xdr:rowOff>81243</xdr:rowOff>
    </xdr:from>
    <xdr:ext cx="3356162" cy="3879476"/>
    <xdr:pic>
      <xdr:nvPicPr>
        <xdr:cNvPr id="2" name="Picture 1">
          <a:extLst>
            <a:ext uri="{FF2B5EF4-FFF2-40B4-BE49-F238E27FC236}">
              <a16:creationId xmlns:a16="http://schemas.microsoft.com/office/drawing/2014/main" id="{74A1792B-28C4-4D95-B67F-D29B88959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332383" y="2100543"/>
          <a:ext cx="3356162" cy="38794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75</xdr:row>
      <xdr:rowOff>0</xdr:rowOff>
    </xdr:from>
    <xdr:ext cx="2491311" cy="2560321"/>
    <xdr:pic>
      <xdr:nvPicPr>
        <xdr:cNvPr id="2" name="Picture 1">
          <a:extLst>
            <a:ext uri="{FF2B5EF4-FFF2-40B4-BE49-F238E27FC236}">
              <a16:creationId xmlns:a16="http://schemas.microsoft.com/office/drawing/2014/main" id="{C8F373E6-0F4A-49F8-9178-E59460D9A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22920" y="13716000"/>
          <a:ext cx="2491311" cy="25603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oneCellAnchor>
    <xdr:from>
      <xdr:col>12</xdr:col>
      <xdr:colOff>106680</xdr:colOff>
      <xdr:row>0</xdr:row>
      <xdr:rowOff>0</xdr:rowOff>
    </xdr:from>
    <xdr:ext cx="7711440" cy="4835191"/>
    <xdr:pic>
      <xdr:nvPicPr>
        <xdr:cNvPr id="3" name="Picture 2">
          <a:extLst>
            <a:ext uri="{FF2B5EF4-FFF2-40B4-BE49-F238E27FC236}">
              <a16:creationId xmlns:a16="http://schemas.microsoft.com/office/drawing/2014/main" id="{4002272B-BE28-4FD9-BA8E-CDF57129C3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604760" y="0"/>
          <a:ext cx="7711440" cy="483519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411255</xdr:colOff>
      <xdr:row>1</xdr:row>
      <xdr:rowOff>8964</xdr:rowOff>
    </xdr:from>
    <xdr:ext cx="7008230" cy="6218145"/>
    <xdr:pic>
      <xdr:nvPicPr>
        <xdr:cNvPr id="2" name="Picture 2">
          <a:extLst>
            <a:ext uri="{FF2B5EF4-FFF2-40B4-BE49-F238E27FC236}">
              <a16:creationId xmlns:a16="http://schemas.microsoft.com/office/drawing/2014/main" id="{CC917941-B177-42AC-94CF-94A05E02C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429749" y="206188"/>
          <a:ext cx="7008230" cy="62181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ORRA1\Project%2000&amp;02\PROJECT\01\15\ESTIMATE\EST-1CV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hor\precint%2016\0058-JPN-SG.BESI\OB\OBRATE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\d\Other%20Projects\Asie\Measurement\Extimate%20of%20Brickwall%20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emasaran3\hery\Tender\RSUD-BA\BQ-RSUD1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lamp-d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Documents%20and%20Settings\Tanh\My%20Documents\tanhs\Data2\1205-PLUS\Bill%20No.11-VBC-r(0)\BOQ-CH181-P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omputer9\D\DWI%20R\PEMBAHASAN%20PROYEK\PONCOL\RAP%20PONCOL%2014%2003%2007%20%20(1051%20M)\RAB%20%20BLOK%20~%20B_PRASARANA_PU_PAS_Harsat_SK.MEI%2022-05-06_Baru_44000_28-02-2007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AZAI\K-4\UU_PR-4&amp;5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DATA/AZAI/K-4/STEEL/IPR1&amp;2_14000A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Vanessa\backup\Cdesign_1\Balisani\Klarifikasi\Review%20Klarifikasi\BQrev2.%20HK.xls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Vanessa\backup\Cdesign_1\Balisani\Klarifikasi\Review%20Klarifikasi\Review%20Tender\BoQ.blank%20HK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The%20Pakubuwono\proyek\9903\bq\bq-ars\BQ-PS&amp;A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ORRA1\Project%2000&amp;02\02\17\bq\m&amp;e\P-Petir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emasaran2\joko\Tender\RSUD-BA\BQ-RSUD1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ORRA1\Project%2000&amp;02\PROJECT\02\10\BQ\ME\ME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-WIN2000\DIV-Proyek\PROYEK\TH-1996\9611\EVA\EVA-ARS&amp;PLB-1\EVALUASI.XLS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B:\data-aji\aji\mabes\Rkk\84%20(%20finish-otis%20)\Tender\RSUD-BA\BQ-RSUD1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02\29\BQ\M-E\Elektrikal%20&amp;%20Electronic\Price\Daf%20No.3%20Tsuara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TATION43\C\1_Tosan\GEDUNG\2Tangerang\JKMP\Jim%20Candra\Jim%20House%20ref1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emasaran2\joko\tender\Tol-Margamandala\Penawaran%20Rev%2026-6-00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NH3_tank/NH3_Equip.xls" TargetMode="External"/></Relationships>
</file>

<file path=xl/externalLinks/_rels/externalLink29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Documents%20and%20Settings/Ima/My%20Documents/RAB-SIPIL-DAEHAN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PROJECT\02\10\BQ\ME\ME.XLS" TargetMode="External"/></Relationships>
</file>

<file path=xl/externalLinks/_rels/externalLink30.xml.rels><?xml version="1.0" encoding="UTF-8" standalone="yes"?>
<Relationships xmlns="http://schemas.openxmlformats.org/package/2006/relationships"><Relationship Id="rId2" Type="http://schemas.microsoft.com/office/2019/04/relationships/externalLinkLongPath" Target="/Project/Project%20Prospect/Romas/Project/Project%20Prospect/Hotel%20Sukajadi/Penawaran/Documents%20and%20Settings/admin/Local%20Settings/Temporary%20Internet%20Files/Content.IE5/OPQRSTUV/Bahan/New%20Folder/RAB-SIPIL-DAEHAN.xls?5D8DD0C1" TargetMode="External"/><Relationship Id="rId1" Type="http://schemas.openxmlformats.org/officeDocument/2006/relationships/externalLinkPath" Target="file:///\\5D8DD0C1\RAB-SIPIL-DAEHAN.xls" TargetMode="External"/></Relationships>
</file>

<file path=xl/externalLinks/_rels/externalLink3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2000\Zone-M\Data\Data%20Emil\emil\Quotation\Z-AQuo\G%20-%20L\sent%20'n%20saved\KPLGDPN1.xls" TargetMode="External"/></Relationships>
</file>

<file path=xl/externalLinks/_rels/externalLink3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idik\cdesign_1\HERU2\BQRenov-Blank.xls" TargetMode="External"/></Relationships>
</file>

<file path=xl/externalLinks/_rels/externalLink33.xml.rels><?xml version="1.0" encoding="UTF-8" standalone="yes"?>
<Relationships xmlns="http://schemas.openxmlformats.org/package/2006/relationships"><Relationship Id="rId1" Type="http://schemas.microsoft.com/office/2006/relationships/xlExternalLinkPath/xlPathMissing" Target="PROP-SILO.xls" TargetMode="External"/></Relationships>
</file>

<file path=xl/externalLinks/_rels/externalLink3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E.S.T.I.M.A.T.E\P.R.O.J.E.C.T\GUDANG%20SAT\DC%20SOLO\CHECK%20VOLUME.xls" TargetMode="External"/></Relationships>
</file>

<file path=xl/externalLinks/_rels/externalLink35.xml.rels><?xml version="1.0" encoding="UTF-8" standalone="yes"?>
<Relationships xmlns="http://schemas.openxmlformats.org/package/2006/relationships"><Relationship Id="rId1" Type="http://schemas.openxmlformats.org/officeDocument/2006/relationships/externalLinkPath" Target="/Work/2016/7.%20Tiga%20Raksa/file:/Computer%201/c/Data-Jalan/VIRA/Vira-ppn.xls" TargetMode="External"/></Relationships>
</file>

<file path=xl/externalLinks/_rels/externalLink36.xml.rels><?xml version="1.0" encoding="UTF-8" standalone="yes"?>
<Relationships xmlns="http://schemas.openxmlformats.org/package/2006/relationships"><Relationship Id="rId1" Type="http://schemas.microsoft.com/office/2006/relationships/xlExternalLinkPath/xlPathMissing" Target="Setapak%20Blk%20A-L.xls" TargetMode="External"/></Relationships>
</file>

<file path=xl/externalLinks/_rels/externalLink3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y%20Documents\Odi\Excel\JLN%20UTAMA%20R21%20SENTUL.XLS" TargetMode="External"/></Relationships>
</file>

<file path=xl/externalLinks/_rels/externalLink3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PEMBIAYAAN\Hw-Proses\KWK%20Timur%20-%20Blok%20B2\2004\EE\EE%20B2%202004.xls" TargetMode="External"/></Relationships>
</file>

<file path=xl/externalLinks/_rels/externalLink3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03e\d%20o\D%20O\MANHATTAN\BQ%20ME\BQ-FINAL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Data/BAGONG/rusun%20begalon/MISC/Congviec/Tam.xls" TargetMode="External"/></Relationships>
</file>

<file path=xl/externalLinks/_rels/externalLink4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is\c-project\Sarip-Data\Arwana\Cost%20plan%20Menara%20Satrio%20DD%20Rev%2000.xls" TargetMode="External"/></Relationships>
</file>

<file path=xl/externalLinks/_rels/externalLink4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TATION43\C\1_Tosan\GEDUNG\2Tangerang\JKMP\Analisa%20Bupati.xls" TargetMode="External"/></Relationships>
</file>

<file path=xl/externalLinks/_rels/externalLink4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hor\precint%2016\WINDOWS\TEMP\tenderTI.xls" TargetMode="External"/></Relationships>
</file>

<file path=xl/externalLinks/_rels/externalLink43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Project/Project%20Prospect/Hotel%20Ciloto/File/RH%20CILOTO/DODI/POPKA/C10A00.XLS" TargetMode="External"/></Relationships>
</file>

<file path=xl/externalLinks/_rels/externalLink4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Lu_thanh_binh\d\Luu_Tru\Ltb_ktkh\DZ220KV_Dau_Noi_sau_tram_500kV_Ha_Tinh\Gia_thau.xls" TargetMode="External"/></Relationships>
</file>

<file path=xl/externalLinks/_rels/externalLink45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Data/BAGONG/rusun%20begalon/MISC/DO-HUONG/GT-BO/TKTC10-8/phong%20nen/DT-THL7.xls" TargetMode="External"/></Relationships>
</file>

<file path=xl/externalLinks/_rels/externalLink4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NH3_Comp.%20House.xls" TargetMode="External"/></Relationships>
</file>

<file path=xl/externalLinks/_rels/externalLink47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Program%20Files/My%20Documents/RS.%20MMC%20Jakarta/Tender%20Paket%20Pekejaan/STP/BQ/2001/ITC_Bandung/ITC_BDG_Mechanical.xls" TargetMode="External"/></Relationships>
</file>

<file path=xl/externalLinks/_rels/externalLink4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24\Kenari\BQ-AC.xls" TargetMode="External"/></Relationships>
</file>

<file path=xl/externalLinks/_rels/externalLink49.xml.rels><?xml version="1.0" encoding="UTF-8" standalone="yes"?>
<Relationships xmlns="http://schemas.openxmlformats.org/package/2006/relationships"><Relationship Id="rId2" Type="http://schemas.microsoft.com/office/2019/04/relationships/externalLinkLongPath" Target="/Project/Project%20Prospect/Hotel%20Sukajadi/Penawaran/Documents%20and%20Settings/ahmad.sulaeman/Local%20Settings/Temporary%20Internet%20Files/Content.Outlook/W5GS0S50/Jembatan/project/grand%20wisata/JICT/BoQ%20C4%20REV%202%20Dec%2016%2004.rel%20pu?7D0799BD" TargetMode="External"/><Relationship Id="rId1" Type="http://schemas.openxmlformats.org/officeDocument/2006/relationships/externalLinkPath" Target="file:///\\7D0799BD\BoQ%20C4%20REV%202%20Dec%2016%2004.rel%20pu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-FREE_ANTS\@rouf\WINDOWS\TEMP\Rar$DI00.296\WINDOWS\TEMP\BOQ%20Permata%20Senayan%2009%20Juni%202003%20R1a.XLS" TargetMode="External"/></Relationships>
</file>

<file path=xl/externalLinks/_rels/externalLink5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E.S.T.I.M.A.T.E\P.R.O.J.E.C.T\PERUMAHAN\SEVILLA%20BSD\bq%20sevilla%2057%20kosong%20BSD%20%20dan%20aadwising%20rumah%20massal.xls" TargetMode="External"/></Relationships>
</file>

<file path=xl/externalLinks/_rels/externalLink5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I:\Proyek%20ATKI\E.S.T.I.M.A.T.E\P.R.O.J.E.C.T\PERUMAHAN\SEVILLA%20BSD\bq%20sevilla%2057%20kosong%20BSD%20%20dan%20aadwising%20rumah%20massal.xls" TargetMode="External"/></Relationships>
</file>

<file path=xl/externalLinks/_rels/externalLink5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03\02\BQ%20Price\NSC\ME&amp;P-R1\Daf-7%20Telepon.xls" TargetMode="External"/></Relationships>
</file>

<file path=xl/externalLinks/_rels/externalLink53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Program%20Files/My%20Documents/RS.%20MMC%20Jakarta/Tender%20Paket%20Pekejaan/STP/BQ/2001/ITC_Kuningan/BQ-ITC%20Kuningan.xls" TargetMode="External"/></Relationships>
</file>

<file path=xl/externalLinks/_rels/externalLink5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File-Sarip\Ex-Sarip\Auto2000-Kapuk\Auto%20200%20Kapuk.xls" TargetMode="External"/></Relationships>
</file>

<file path=xl/externalLinks/_rels/externalLink55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My%20Documents/Data/data%20awal/Samples/Kaltim-4/DATA/AZAI/K-4/UU_PR-4&amp;5.xls" TargetMode="External"/></Relationships>
</file>

<file path=xl/externalLinks/_rels/externalLink5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uparlan\01%20ammonia\B011_AM_14000A_CHECK.xls" TargetMode="External"/></Relationships>
</file>

<file path=xl/externalLinks/_rels/externalLink5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03\07\BQ\ME\Price\Daf%20No.6%20Tsuara.xls" TargetMode="External"/></Relationships>
</file>

<file path=xl/externalLinks/_rels/externalLink5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03\02\BQ%20Price\NSC\ME&amp;P-R1\Daf-8%20Sound%20Sistem-KR.xls" TargetMode="External"/></Relationships>
</file>

<file path=xl/externalLinks/_rels/externalLink5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OMP1\c%20komp1\Data-baru\Patmase-%20D\Pat-B\5\G%20Ayu%20Village%20R-1%20ke%20disk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Program%20Files/My%20Documents/RS.%20MMC%20Jakarta/Tender%20Paket%20Pekejaan/STP/BQ/2001/AMBASADOR/BQ-10%20MECH%2010-11-2000.xls" TargetMode="External"/></Relationships>
</file>

<file path=xl/externalLinks/_rels/externalLink6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TENDER\ARAU%20WATER%20SUPPLY\URB_ARAUWS.xls" TargetMode="External"/></Relationships>
</file>

<file path=xl/externalLinks/_rels/externalLink6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ummy\Cost-Toilet%20Pengganti.xls" TargetMode="External"/></Relationships>
</file>

<file path=xl/externalLinks/_rels/externalLink62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Program%20Files/My%20Documents/RS.%20MMC%20Jakarta/Tender%20Paket%20Pekejaan/STP/BQ/0DATA/DEVIS/UPAD/BOQ/HVAC/FORM.XLS" TargetMode="External"/></Relationships>
</file>

<file path=xl/externalLinks/_rels/externalLink6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-FREE_ANTS\@rouf\WINDOWS\TEMP\Rar$DI00.296\Div~QS\Daan%20Mogot\Ruko%20Daan%20Mogot%20R2a.xls" TargetMode="External"/></Relationships>
</file>

<file path=xl/externalLinks/_rels/externalLink64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DOCUME~1/trisno/LOCALS~1/Temp/Rar$DI18.641/ANALISA_HARGA_SNI%20250907.XLS" TargetMode="External"/></Relationships>
</file>

<file path=xl/externalLinks/_rels/externalLink6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Perumnas\Pontianak\Biaya\Rencana%20Anggaran%20Biaya%20Rusunawa%20Untan%20-%20Final%20-%20NATABAMA%20(version%202).xls" TargetMode="External"/></Relationships>
</file>

<file path=xl/externalLinks/_rels/externalLink66.xml.rels><?xml version="1.0" encoding="UTF-8" standalone="yes"?>
<Relationships xmlns="http://schemas.openxmlformats.org/package/2006/relationships"><Relationship Id="rId2" Type="http://schemas.microsoft.com/office/2019/04/relationships/externalLinkLongPath" Target="/Project/Project%20Prospect/Romas/Project/Project%20Prospect/Hotel%20Sukajadi/Penawaran/DEDDY/MMR/PENAWARAN%20TENDER/STRUKTUR/ESTIMATE%20No.%202%20MMR%2020%20APRIL%202006/BQ%20KONTRAK%20STRUKTUR%20MMR%20-%20FINAL%2010032006%20Rev.%2014032006%20to%20wk%20220306?9D08A15D" TargetMode="External"/><Relationship Id="rId1" Type="http://schemas.openxmlformats.org/officeDocument/2006/relationships/externalLinkPath" Target="file:///\\9D08A15D\BQ%20KONTRAK%20STRUKTUR%20MMR%20-%20FINAL%2010032006%20Rev.%2014032006%20to%20wk%20220306" TargetMode="External"/></Relationships>
</file>

<file path=xl/externalLinks/_rels/externalLink67.xml.rels><?xml version="1.0" encoding="UTF-8" standalone="yes"?>
<Relationships xmlns="http://schemas.openxmlformats.org/package/2006/relationships"><Relationship Id="rId2" Type="http://schemas.microsoft.com/office/2019/04/relationships/externalLinkLongPath" Target="/Project/Project%20Prospect/Hotel%20Sukajadi/Penawaran/Documents%20and%20Settings/ahmad.sulaeman/Local%20Settings/Temporary%20Internet%20Files/Content.Outlook/W5GS0S50/RIZALDI/Share%20Documents/LYCOPODIUM/Et-05_LYCOPODIUM-LOC..xls?75312881" TargetMode="External"/><Relationship Id="rId1" Type="http://schemas.openxmlformats.org/officeDocument/2006/relationships/externalLinkPath" Target="file:///\\75312881\Et-05_LYCOPODIUM-LOC..xls" TargetMode="External"/></Relationships>
</file>

<file path=xl/externalLinks/_rels/externalLink6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ocuments%20and%20Settings\Arief\My%20Documents\ETC\Rosnia\Proyek\Sumber%20Jaya\Madiun\RSUD%20Madiun-me.xls" TargetMode="External"/></Relationships>
</file>

<file path=xl/externalLinks/_rels/externalLink69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Dodi/08_Format_and_Others/1_Guide_Format_Mto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User\d\TEMPO\lintec-sumicon.xls" TargetMode="External"/></Relationships>
</file>

<file path=xl/externalLinks/_rels/externalLink70.xml.rels><?xml version="1.0" encoding="UTF-8" standalone="yes"?>
<Relationships xmlns="http://schemas.openxmlformats.org/package/2006/relationships"><Relationship Id="rId1" Type="http://schemas.microsoft.com/office/2006/relationships/xlExternalLinkPath/xlPathMissing" Target="Setapak-Structural%20Measurement.xls" TargetMode="External"/></Relationships>
</file>

<file path=xl/externalLinks/_rels/externalLink7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-win2000\div-proyek\PROYEK\TH-2003\0301\BQ\townhouse\BQ-R2.XLS" TargetMode="External"/></Relationships>
</file>

<file path=xl/externalLinks/_rels/externalLink72.xml.rels><?xml version="1.0" encoding="UTF-8" standalone="yes"?>
<Relationships xmlns="http://schemas.openxmlformats.org/package/2006/relationships"><Relationship Id="rId1" Type="http://schemas.microsoft.com/office/2006/relationships/xlExternalLinkPath/xlPathMissing" Target="Apt%20DR&amp;WW.xls" TargetMode="External"/></Relationships>
</file>

<file path=xl/externalLinks/_rels/externalLink73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Project/Project%20Prospect/Hotel%20Ciloto/File/RH%20CILOTO/DODI/POPKA/ZSTL.XLS" TargetMode="External"/></Relationships>
</file>

<file path=xl/externalLinks/_rels/externalLink74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Dodi/13%20Gas_Booster_Station_Project/01%20KP_136/015-KP-136-15000A-OFFICE-BUILDING.xls" TargetMode="External"/></Relationships>
</file>

<file path=xl/externalLinks/_rels/externalLink75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Data/BAGONG/rusun%20begalon/MISC/Hoai/B-CAOQ~1.XLS" TargetMode="External"/></Relationships>
</file>

<file path=xl/externalLinks/_rels/externalLink7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\d\Other%20Projects\Asie\Measurement\Setapak%20Low%20Cost%202791.xls" TargetMode="External"/></Relationships>
</file>

<file path=xl/externalLinks/_rels/externalLink77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Program%20Files/My%20Documents/RS.%20MMC%20Jakarta/Tender%20Paket%20Pekejaan/STP/BQ/2001/ITC_Bandung/ITC_BDG_Mechanical_1.xls" TargetMode="External"/></Relationships>
</file>

<file path=xl/externalLinks/_rels/externalLink78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Program%20Files/My%20Documents/RS.%20MMC%20Jakarta/Tender%20Paket%20Pekejaan/STP/BQ/2001/AMBASADOR/Bqplrev.xls" TargetMode="External"/></Relationships>
</file>

<file path=xl/externalLinks/_rels/externalLink7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ita\C\F_TEJA%20ROBERT\AGUS%20WIJAYA\DWI%20R%202%20JUNI%202006%20FILE%20FIX\TMNL%20TLOGAWARU%2029%20JAN%20'07\BUKU%204\TRMNL%20TLOGOWARU%2029%20JAN%20'07%20(%20ANYAR%20)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User\d\m-form\BQ-FORM.xls" TargetMode="External"/></Relationships>
</file>

<file path=xl/externalLinks/_rels/externalLink80.xml.rels><?xml version="1.0" encoding="UTF-8" standalone="yes"?>
<Relationships xmlns="http://schemas.openxmlformats.org/package/2006/relationships"><Relationship Id="rId1" Type="http://schemas.openxmlformats.org/officeDocument/2006/relationships/externalLinkPath" Target="refrensi%20harga.xlsx" TargetMode="External"/></Relationships>
</file>

<file path=xl/externalLinks/_rels/externalLink81.xml.rels><?xml version="1.0" encoding="UTF-8" standalone="yes"?>
<Relationships xmlns="http://schemas.openxmlformats.org/package/2006/relationships"><Relationship Id="rId1" Type="http://schemas.openxmlformats.org/officeDocument/2006/relationships/externalLinkPath" Target="/01%20PROJECT/02%20PROJECT%20PLANNING/DEDSSBPPUNCAK@QMAIL.ID/24%20BOQ/01%20RH/01%20RAB%20AGROWISATA%20BLOK%20A%20ruhiyat%203.xlsx" TargetMode="External"/></Relationships>
</file>

<file path=xl/externalLinks/_rels/externalLink82.xml.rels><?xml version="1.0" encoding="UTF-8" standalone="yes"?>
<Relationships xmlns="http://schemas.openxmlformats.org/package/2006/relationships"><Relationship Id="rId1" Type="http://schemas.openxmlformats.org/officeDocument/2006/relationships/externalLinkPath" Target="/01%20PROJECT/02%20PROJECT%20PLANNING/DEDSSBPPUNCAK@QMAIL.ID/24%20BOQ/01%20RH/REVISI%2001%20RAB%20AGROWISATA%20BLOK%20A%20ruhiyat%201%20(1).xlsx" TargetMode="External"/></Relationships>
</file>

<file path=xl/externalLinks/_rels/externalLink83.xml.rels><?xml version="1.0" encoding="UTF-8" standalone="yes"?>
<Relationships xmlns="http://schemas.openxmlformats.org/package/2006/relationships"><Relationship Id="rId1" Type="http://schemas.openxmlformats.org/officeDocument/2006/relationships/externalLinkPath" Target="/01%20PROJECT/02%20PROJECT%20PLANNING/DEDSSBPPUNCAK@QMAIL.ID/24%20BOQ/01%20RH/REVISI%2001%20RAB%20AGROWISATA%20BLOK%20A%20ruhiyat%202%20(1).xlsx" TargetMode="External"/></Relationships>
</file>

<file path=xl/externalLinks/_rels/externalLink8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Heru%20Prabowo\Downloads\01%20RAB%20AGROWISATA%201A.xlsx" TargetMode="External"/></Relationships>
</file>

<file path=xl/externalLinks/_rels/externalLink8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Heru%20Prabowo\Downloads\01%20RAB%20AGROWISATA%20BLOK%20A%20ruhiyat%201.xlsx" TargetMode="External"/></Relationships>
</file>

<file path=xl/externalLinks/_rels/externalLink86.xml.rels><?xml version="1.0" encoding="UTF-8" standalone="yes"?>
<Relationships xmlns="http://schemas.openxmlformats.org/package/2006/relationships"><Relationship Id="rId1" Type="http://schemas.openxmlformats.org/officeDocument/2006/relationships/externalLinkPath" Target="01%20Final%20BQ%20Blok%20C%20'%20UPPT.xlsx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Project%20Prospect/Romas/Project/Project%20Prospect/Hotel%20Sukajadi/Penawaran/HERY/Data/BAGONG/rusun%20begalon/MISC/Congviec/Tam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_KAMAR"/>
      <sheetName val="I-KAMAR"/>
      <sheetName val="Coll-KAMAR"/>
      <sheetName val="II.MAIN-LOB"/>
      <sheetName val="III.FASADE"/>
      <sheetName val="IV. POOL DECK"/>
      <sheetName val="V.BALLROOM"/>
      <sheetName val="VI.CANOPY"/>
      <sheetName val="VII.CAR &amp; LIFT"/>
      <sheetName val="IX.ATRIUM"/>
      <sheetName val="X.LANDSCAPE"/>
      <sheetName val="Cover"/>
      <sheetName val="Summary "/>
      <sheetName val="Cover-OP"/>
      <sheetName val="Summary-op"/>
      <sheetName val="Rb"/>
      <sheetName val="REKAP"/>
      <sheetName val="GTS I PS"/>
      <sheetName val="escon"/>
      <sheetName val="PPC"/>
      <sheetName val="Analisa"/>
      <sheetName val="D3.1"/>
      <sheetName val="Summary"/>
      <sheetName val="3.1"/>
      <sheetName val="3.2"/>
      <sheetName val="3.3"/>
      <sheetName val="3.4"/>
      <sheetName val="Sum"/>
      <sheetName val="B4-TC "/>
      <sheetName val="FinSum"/>
      <sheetName val="Instalasi"/>
      <sheetName val="Instalasi EAP"/>
      <sheetName val="Round Duct IMP"/>
      <sheetName val="Air Reg"/>
      <sheetName val="Cable power"/>
      <sheetName val="Pasang AC Split "/>
      <sheetName val="Panel Intimuara 22 Sept 10"/>
      <sheetName val="chitimc"/>
      <sheetName val="THPDMoi  (2)"/>
      <sheetName val="dongia (2)"/>
      <sheetName val="gtrinh"/>
      <sheetName val="phuluc1"/>
      <sheetName val="TONG HOP VL-NC"/>
      <sheetName val="lam-moi"/>
      <sheetName val="chitiet"/>
      <sheetName val="TONGKE3p "/>
      <sheetName val="giathanh1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LKVL-CK-HT-GD1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Bill.1.VAC-Supply-A"/>
      <sheetName val="SUM 200"/>
      <sheetName val="Penjumlahan"/>
      <sheetName val="Plat"/>
      <sheetName val="daffin"/>
      <sheetName val="fas"/>
      <sheetName val="typ 10_25"/>
      <sheetName val="ph26"/>
      <sheetName val="ph27"/>
      <sheetName val="kor_un"/>
      <sheetName val="kor"/>
      <sheetName val="I. Prelim"/>
      <sheetName val="CBD"/>
      <sheetName val="II_MAIN-LOB"/>
      <sheetName val="III_FASADE"/>
      <sheetName val="IV__POOL_DECK"/>
      <sheetName val="V_BALLROOM"/>
      <sheetName val="VI_CANOPY"/>
      <sheetName val="VII_CAR_&amp;_LIFT"/>
      <sheetName val="IX_ATRIUM"/>
      <sheetName val="X_LANDSCAPE"/>
      <sheetName val="Summary_"/>
      <sheetName val="D3_1"/>
      <sheetName val="GTS_I_PS"/>
      <sheetName val="daftar harsat"/>
      <sheetName val="G_SUMMARY"/>
      <sheetName val="SEX"/>
      <sheetName val="4"/>
      <sheetName val="iTEM hARSAT"/>
      <sheetName val="BAG_2"/>
      <sheetName val="main summary"/>
      <sheetName val="Pek.Luar"/>
      <sheetName val="VAC-1"/>
      <sheetName val="daily (12)"/>
      <sheetName val="r.tank"/>
      <sheetName val="prelim"/>
      <sheetName val="HB "/>
      <sheetName val="harga"/>
      <sheetName val="Bag_9"/>
      <sheetName val="SUB ME"/>
      <sheetName val="mechanical asrama"/>
      <sheetName val="electrical asrama"/>
      <sheetName val="ME. Kelas"/>
      <sheetName val="umum"/>
      <sheetName val="analisa alat"/>
      <sheetName val="alat"/>
      <sheetName val="bahan"/>
      <sheetName val="upah"/>
      <sheetName val="SUB LAIN2"/>
      <sheetName val="SUB KUSEN"/>
      <sheetName val="analisa pekerjaan"/>
      <sheetName val="ars asrama "/>
      <sheetName val="str asrama"/>
      <sheetName val="ars kelas"/>
      <sheetName val="str kelas"/>
      <sheetName val="REKAP MERAH"/>
      <sheetName val="Statprod gab"/>
      <sheetName val="THPDMoi__(2)"/>
      <sheetName val="dongia_(2)"/>
      <sheetName val="TONG_HOP_VL-NC"/>
      <sheetName val="TONGKE3p_"/>
      <sheetName val="TH_VL,_NC,_DDHT_Thanhphuoc"/>
      <sheetName val="DON_GIA"/>
      <sheetName val="t-h_HA_THE"/>
      <sheetName val="CHITIET_VL-NC-TT_-1p"/>
      <sheetName val="TONG_HOP_VL-NC_TT"/>
      <sheetName val="TH_XL"/>
      <sheetName val="CHITIET_VL-NC"/>
      <sheetName val="CHITIET_VL-NC-TT-3p"/>
      <sheetName val="KPVC-BD_"/>
      <sheetName val="Bill_1_VAC-Supply-A"/>
      <sheetName val="3_1"/>
      <sheetName val="3_2"/>
      <sheetName val="3_3"/>
      <sheetName val="3_4"/>
      <sheetName val="B4-TC_"/>
      <sheetName val="Instalasi_EAP"/>
      <sheetName val="Round_Duct_IMP"/>
      <sheetName val="Air_Reg"/>
      <sheetName val="Cable_power"/>
      <sheetName val="Pasang_AC_Split_"/>
      <sheetName val="Panel_Intimuara_22_Sept_10"/>
      <sheetName val="SUM_200"/>
      <sheetName val="Evaluasi"/>
      <sheetName val="BAG-2"/>
      <sheetName val="A"/>
      <sheetName val="304_06"/>
      <sheetName val="5.1-5.4(1)-5.4(2)"/>
      <sheetName val="jobhist"/>
      <sheetName val="Hrg.Sat"/>
      <sheetName val="REKAP TOTAL (1)"/>
      <sheetName val="Elektrikal"/>
      <sheetName val="AHAS1"/>
      <sheetName val="DETAIL LT11-13"/>
      <sheetName val="Fill this out first___"/>
      <sheetName val="Harga ME "/>
      <sheetName val="PLB-Basement 2.8.2-R1"/>
      <sheetName val="Coll_KAMAR"/>
      <sheetName val="bill 3.9"/>
      <sheetName val="Resume"/>
      <sheetName val="anal"/>
      <sheetName val="Kuantitas &amp; Harga"/>
      <sheetName val="RINC FIN T4  _3_"/>
      <sheetName val="RINC FIN T4  _2_"/>
      <sheetName val="DAF_2"/>
      <sheetName val="Bill_1_VAC_Supply_A"/>
      <sheetName val="PL"/>
      <sheetName val="PK"/>
      <sheetName val="Pembongkaran"/>
      <sheetName val="Analisa &amp; Upah"/>
      <sheetName val="Analisa _ Upah"/>
      <sheetName val="Analisa Harga"/>
      <sheetName val="hst  LAMP_1 _2_"/>
      <sheetName val="Daf 1"/>
      <sheetName val="harsat"/>
      <sheetName val="HARGA DASAR"/>
      <sheetName val="DIV.8"/>
      <sheetName val="DIV.9"/>
      <sheetName val="LBK"/>
      <sheetName val="EST-1CV"/>
      <sheetName val="3.a LBK"/>
      <sheetName val="Cover Daf-2"/>
      <sheetName val="Kode Bahan"/>
      <sheetName val="STR _A_"/>
      <sheetName val="boq"/>
      <sheetName val="struktur tdk dipakai"/>
      <sheetName val="Harga Satuan"/>
      <sheetName val="Cash Flow bulanan"/>
      <sheetName val="Kolom UT"/>
      <sheetName val="HSP"/>
      <sheetName val="STR"/>
      <sheetName val="OHD"/>
      <sheetName val="DAF-4"/>
      <sheetName val="Fire Fighting"/>
      <sheetName val="Plumbing"/>
      <sheetName val="RAB-NEGO"/>
      <sheetName val="ALL"/>
      <sheetName val="Har-mat"/>
      <sheetName val="cargo"/>
      <sheetName val="AHS"/>
      <sheetName val="BQ"/>
      <sheetName val="PROTECTION "/>
      <sheetName val="TOTAL"/>
      <sheetName val="NET_"/>
      <sheetName val="BQ_"/>
      <sheetName val="luar"/>
      <sheetName val="RINC hotel"/>
      <sheetName val="RINC FIN T4 "/>
      <sheetName val="HARGA MATERIAL"/>
      <sheetName val="RAB_DK"/>
      <sheetName val="III_FA"/>
      <sheetName val=""/>
      <sheetName val="!_x0004_"/>
      <sheetName val="1+580"/>
      <sheetName val="Bill rekap"/>
      <sheetName val="Bill of Qty"/>
      <sheetName val="BQ ARS"/>
      <sheetName val="NAMES"/>
      <sheetName val="HARGA ALAT"/>
      <sheetName val="BASIC"/>
      <sheetName val="ubah"/>
      <sheetName val="SPK"/>
      <sheetName val="TOWN"/>
      <sheetName val="III_FA_u_x0012__x0003_"/>
      <sheetName val="_~X3_________HV3_`²_~X3_~V3_._"/>
      <sheetName val="!_x0004___"/>
      <sheetName val="_"/>
      <sheetName val="II_MAIN-LOB1"/>
      <sheetName val="III_FASADE1"/>
      <sheetName val="IV__POOL_DECK1"/>
      <sheetName val="V_BALLROOM1"/>
      <sheetName val="VI_CANOPY1"/>
      <sheetName val="VII_CAR_&amp;_LIFT1"/>
      <sheetName val="IX_ATRIUM1"/>
      <sheetName val="X_LANDSCAPE1"/>
      <sheetName val="Summary_1"/>
      <sheetName val="GTS_I_PS1"/>
      <sheetName val="D3_11"/>
      <sheetName val="THPDMoi__(2)1"/>
      <sheetName val="dongia_(2)1"/>
      <sheetName val="TONG_HOP_VL-NC1"/>
      <sheetName val="TONGKE3p_1"/>
      <sheetName val="TH_VL,_NC,_DDHT_Thanhphuoc1"/>
      <sheetName val="DON_GIA1"/>
      <sheetName val="t-h_HA_THE1"/>
      <sheetName val="CHITIET_VL-NC-TT_-1p1"/>
      <sheetName val="TONG_HOP_VL-NC_TT1"/>
      <sheetName val="TH_XL1"/>
      <sheetName val="CHITIET_VL-NC1"/>
      <sheetName val="CHITIET_VL-NC-TT-3p1"/>
      <sheetName val="KPVC-BD_1"/>
      <sheetName val="Bill_1_VAC-Supply-A1"/>
      <sheetName val="3_11"/>
      <sheetName val="3_21"/>
      <sheetName val="3_31"/>
      <sheetName val="3_41"/>
      <sheetName val="B4-TC_1"/>
      <sheetName val="Instalasi_EAP1"/>
      <sheetName val="Round_Duct_IMP1"/>
      <sheetName val="Air_Reg1"/>
      <sheetName val="Cable_power1"/>
      <sheetName val="Pasang_AC_Split_1"/>
      <sheetName val="Panel_Intimuara_22_Sept_101"/>
      <sheetName val="SUM_2001"/>
      <sheetName val="daftar_harsat"/>
      <sheetName val="typ_10_25"/>
      <sheetName val="I__Prelim"/>
      <sheetName val="daily_(12)"/>
      <sheetName val="SUB_ME"/>
      <sheetName val="mechanical_asrama"/>
      <sheetName val="electrical_asrama"/>
      <sheetName val="ME__Kelas"/>
      <sheetName val="analisa_alat"/>
      <sheetName val="SUB_LAIN2"/>
      <sheetName val="SUB_KUSEN"/>
      <sheetName val="analisa_pekerjaan"/>
      <sheetName val="ars_asrama_"/>
      <sheetName val="str_asrama"/>
      <sheetName val="ars_kelas"/>
      <sheetName val="str_kelas"/>
      <sheetName val="REKAP_MERAH"/>
      <sheetName val="HB_"/>
      <sheetName val="Statprod_gab"/>
      <sheetName val="5_1-5_4(1)-5_4(2)"/>
      <sheetName val="main_summary"/>
      <sheetName val="Pek_Luar"/>
      <sheetName val="r_tank"/>
      <sheetName val="iTEM_hARSAT"/>
      <sheetName val="Hrg_Sat"/>
      <sheetName val="DETAIL_LT11-13"/>
      <sheetName val="Harga_ME_"/>
      <sheetName val="Fill_this_out_first___"/>
      <sheetName val="RINC_FIN_T4___3_"/>
      <sheetName val="RINC_FIN_T4___2_"/>
      <sheetName val="bill_3_9"/>
      <sheetName val="Bill No.1"/>
      <sheetName val="BASEMENT"/>
      <sheetName val="Anls"/>
      <sheetName val="_~X3_________HV3_�`�_~X3_~V3_._"/>
      <sheetName val="TU"/>
      <sheetName val="Urai _Resap pengikat"/>
      <sheetName val="304-06"/>
      <sheetName val="Junior PTI"/>
      <sheetName val="SMP"/>
      <sheetName val="DAF-7"/>
      <sheetName val="3"/>
      <sheetName val="MK"/>
      <sheetName val="3_`²_~X3_~V3_.___.____x0001____tÏ 0!"/>
      <sheetName val="概総括1"/>
      <sheetName val="harga bahan"/>
      <sheetName val="Hargamat"/>
      <sheetName val="3__`__~X3_~V3_.___.____x0001____t__0!"/>
      <sheetName val="_~X3_________HV3__`__~X3_~V3_._"/>
      <sheetName val="Rincian "/>
      <sheetName val="STRUKTUR"/>
      <sheetName val="TE TS FA LAN MATV"/>
      <sheetName val="LISTRIK"/>
      <sheetName val="revisiSTR-pondasi"/>
      <sheetName val="Perm. Test"/>
      <sheetName val="Vibro_Roller"/>
      <sheetName val="List_Berat"/>
      <sheetName val="Mat_Tower1"/>
      <sheetName val="Mat_Tower"/>
      <sheetName val="Internal_Summary"/>
      <sheetName val="BS_pricing"/>
      <sheetName val="NMS_Configuration"/>
      <sheetName val="63_Swap"/>
      <sheetName val="Antenna"/>
      <sheetName val="Parameter"/>
      <sheetName val="bobot"/>
      <sheetName val="Harga_Baut"/>
      <sheetName val="Pipe"/>
      <sheetName val="BOM"/>
      <sheetName val="Project_Summary"/>
      <sheetName val="DATA-BASE"/>
      <sheetName val="Factors"/>
      <sheetName val="Assumptions"/>
      <sheetName val="Rekapsub-total-ME"/>
      <sheetName val="lookup"/>
      <sheetName val="Factor"/>
      <sheetName val="margin"/>
      <sheetName val="X-file"/>
      <sheetName val="KURS"/>
      <sheetName val="Data"/>
      <sheetName val="GLP-DISCOUN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ex"/>
      <sheetName val="piling"/>
      <sheetName val="sub structure"/>
      <sheetName val="superstructure"/>
      <sheetName val="surau"/>
      <sheetName val="tnb"/>
      <sheetName val="tangki"/>
      <sheetName val="sampah"/>
      <sheetName val="M&amp;E"/>
      <sheetName val="infra"/>
      <sheetName val="earth"/>
      <sheetName val="drainage"/>
      <sheetName val="sewerage"/>
      <sheetName val="water"/>
      <sheetName val="road"/>
      <sheetName val="pavement"/>
      <sheetName val="turfing"/>
      <sheetName val="takraw"/>
      <sheetName val="TOTAL SUMMARY"/>
      <sheetName val="I_KAMAR"/>
      <sheetName val="Bill-19"/>
      <sheetName val="sum-bill22"/>
      <sheetName val="An Arsitektur"/>
      <sheetName val="An Struktur"/>
      <sheetName val="Bahan "/>
      <sheetName val="Upah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ldg"/>
      <sheetName val="Ext Wall-A"/>
      <sheetName val="Int Wall-A"/>
      <sheetName val="Partition-A"/>
      <sheetName val="Party Wall-A"/>
      <sheetName val="Ext Wall-J"/>
      <sheetName val="Int Wall-J"/>
      <sheetName val="Partition-J"/>
      <sheetName val="Party Wall-J"/>
      <sheetName val="Ext-HC"/>
      <sheetName val="Int-HC"/>
      <sheetName val="Ext-MPH"/>
      <sheetName val="Ext-Surau"/>
      <sheetName val="index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dt"/>
      <sheetName val="Rekapi"/>
      <sheetName val="AHS"/>
      <sheetName val="Bul"/>
      <sheetName val="Alat"/>
      <sheetName val="Subkont"/>
      <sheetName val="Bahan"/>
      <sheetName val="Upah1"/>
      <sheetName val="Rekap"/>
      <sheetName val="Bang A"/>
      <sheetName val="Bang B"/>
      <sheetName val="Sarana"/>
      <sheetName val="Asrama"/>
      <sheetName val="Utility"/>
      <sheetName val="Kamar"/>
      <sheetName val="Material"/>
      <sheetName val="Upah"/>
      <sheetName val="Analisa"/>
      <sheetName val="BQ PLAMBING - SEMANAN"/>
      <sheetName val="BQ-RSUD1"/>
      <sheetName val="Bahan "/>
      <sheetName val="Pekerjaan "/>
      <sheetName val="DivVII"/>
      <sheetName val="H.Satuan"/>
      <sheetName val="QTO-11P"/>
      <sheetName val="Harga Satuan"/>
      <sheetName val="304_06"/>
      <sheetName val="SAT"/>
      <sheetName val="Anal"/>
      <sheetName val="REK"/>
      <sheetName val="Bill rekap"/>
      <sheetName val="Bill of Qty"/>
      <sheetName val="HARGA ALAT"/>
      <sheetName val="chitimc"/>
      <sheetName val="dongia (2)"/>
      <sheetName val="giathanh1"/>
      <sheetName val="THPDMoi  (2)"/>
      <sheetName val="gtrinh"/>
      <sheetName val="phuluc1"/>
      <sheetName val="TONG HOP VL-NC"/>
      <sheetName val="lam-moi"/>
      <sheetName val="#REF"/>
      <sheetName val="DONGIA"/>
      <sheetName val="chitiet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H XL"/>
      <sheetName val="TONGKE3p "/>
      <sheetName val="VC"/>
      <sheetName val="CHITIET VL-NC-TT-3p"/>
      <sheetName val="TDTKP1"/>
      <sheetName val="KPVC-BD "/>
      <sheetName val="VCV-BE-TONG"/>
      <sheetName val="CHITIET VL-NC"/>
      <sheetName val="ESCON"/>
      <sheetName val="DAFTAR HARGA"/>
      <sheetName val="Cover"/>
      <sheetName val="Bldg"/>
      <sheetName val="Bangunan Utama"/>
      <sheetName val="Plumbing"/>
      <sheetName val="RAB-NEGO"/>
      <sheetName val="Harsat"/>
      <sheetName val="BQ_E20_02_Rp_"/>
      <sheetName val="Koef"/>
      <sheetName val="_bhn_uph"/>
      <sheetName val="HRG BHN"/>
      <sheetName val="I-KAMAR"/>
      <sheetName val="Bang_A"/>
      <sheetName val="Bang_B"/>
      <sheetName val="BQ_PLAMBING_-_SEMANAN"/>
      <sheetName val="H-BHN"/>
      <sheetName val="Rab "/>
      <sheetName val="Harga"/>
      <sheetName val="dasboard"/>
      <sheetName val="rumus"/>
      <sheetName val="Metode"/>
      <sheetName val="Analisa DMPU"/>
      <sheetName val="analisa Str"/>
      <sheetName val="01A- RAB"/>
      <sheetName val="Analisa Gabungan"/>
      <sheetName val="Sub"/>
      <sheetName val="STR"/>
      <sheetName val="BQ-E20-02(Rp)"/>
      <sheetName val="I_KAMAR"/>
      <sheetName val="Basic Price"/>
      <sheetName val="Analisa -Baku"/>
      <sheetName val="Rekap Direct Cost"/>
      <sheetName val="Daftar Upah"/>
      <sheetName val="WS Pabrikasi"/>
      <sheetName val="WS SSE"/>
      <sheetName val="Bahan_"/>
      <sheetName val="Pekerjaan_"/>
      <sheetName val="Bill-19"/>
      <sheetName val="sum-bill22"/>
      <sheetName val="An Arsitektur"/>
      <sheetName val="An Struktur"/>
      <sheetName val="Analisa 2"/>
      <sheetName val="Cash Flow bulanan"/>
      <sheetName val="8LT 12"/>
      <sheetName val="VAC-1"/>
      <sheetName val="SAP"/>
      <sheetName val="REKAP STR T"/>
      <sheetName val="Elektronik"/>
      <sheetName val="Electrikal"/>
      <sheetName val="AC"/>
      <sheetName val="Fire Fighting"/>
      <sheetName val="Item Kompensasi"/>
      <sheetName val="D2.8"/>
      <sheetName val="Penjumlahan"/>
      <sheetName val="Bill_rekap"/>
      <sheetName val="Bill_of_Qty"/>
      <sheetName val="Harga_Satuan"/>
      <sheetName val="index"/>
      <sheetName val="HARSAT_BAH"/>
      <sheetName val="Pipe"/>
      <sheetName val="NAME"/>
      <sheetName val="A LIS"/>
      <sheetName val="A REKAP"/>
      <sheetName val="Surat"/>
      <sheetName val="Input"/>
      <sheetName val="DAF-1"/>
      <sheetName val="struktur tdk dipakai"/>
      <sheetName val="Analisa Harga Satuan"/>
      <sheetName val="DAF_9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va Spek"/>
      <sheetName val="LP-CRT"/>
      <sheetName val="SAP"/>
      <sheetName val="PLB"/>
      <sheetName val="Harga Satuan"/>
      <sheetName val="daf-3(OK)"/>
      <sheetName val="daf-7(OK)"/>
      <sheetName val="SITE-E"/>
      <sheetName val="Foundation"/>
      <sheetName val="lamp-d"/>
      <sheetName val="Material"/>
      <sheetName val="plumbing"/>
      <sheetName val="Cover"/>
      <sheetName val="DAF-2"/>
      <sheetName val="ah sanitary"/>
      <sheetName val="CONSUMABLE"/>
      <sheetName val="Currency Rate"/>
      <sheetName val="Steel-Twr"/>
      <sheetName val="BAG-III"/>
      <sheetName val="BAG_III"/>
      <sheetName val="Eva_Spek"/>
      <sheetName val="Harga_Satuan"/>
      <sheetName val="BQ ARS"/>
      <sheetName val="BQ"/>
      <sheetName val="Elektrikal"/>
      <sheetName val="A"/>
      <sheetName val="ESCON"/>
      <sheetName val="daf_3_OK_"/>
      <sheetName val="daf_7_OK_"/>
      <sheetName val="DAF_2"/>
      <sheetName val="Daf 1"/>
      <sheetName val="I-KAMAR"/>
      <sheetName val="Fill this out first..."/>
      <sheetName val="Analisa"/>
      <sheetName val="Kolom"/>
      <sheetName val="LS_Rutin"/>
      <sheetName val="BAG-2"/>
      <sheetName val="ah_sanitary"/>
      <sheetName val="Currency_Rate"/>
      <sheetName val="harsat"/>
      <sheetName val="2_2"/>
      <sheetName val="STR"/>
      <sheetName val="INPUT DATAS"/>
      <sheetName val="Sch.1"/>
      <sheetName val="price"/>
      <sheetName val="SEX"/>
      <sheetName val="Bill_1_VAC_Supply_A"/>
      <sheetName val="SAT-BHN"/>
      <sheetName val="Scd_RAB"/>
      <sheetName val="Penwrn"/>
      <sheetName val="H.Satuan"/>
      <sheetName val="Bahan "/>
      <sheetName val="Upah"/>
      <sheetName val="Pekerjaan "/>
      <sheetName val="Fill this out first___"/>
      <sheetName val="chitimc"/>
      <sheetName val="Bgt_Jun-05"/>
      <sheetName val="Total Load List"/>
      <sheetName val="Rate"/>
      <sheetName val="Eva_Spek1"/>
      <sheetName val="Harga_Satuan1"/>
      <sheetName val="BQ_ARS"/>
      <sheetName val="Daf_1"/>
      <sheetName val="Isolasi Luar"/>
      <sheetName val="Bahan"/>
      <sheetName val="BAG_2"/>
      <sheetName val="Isolasi Luar Dalam"/>
      <sheetName val="Alat"/>
      <sheetName val="Persiapan"/>
      <sheetName val="Harga ME "/>
      <sheetName val="sheet1"/>
      <sheetName val="TE TS FA LAN MATV"/>
      <sheetName val="BQ atap bengkel"/>
      <sheetName val="str bengkel"/>
      <sheetName val="ALEK"/>
      <sheetName val="Bill rekap"/>
      <sheetName val="Bill of Qty"/>
      <sheetName val="drain"/>
      <sheetName val="Structure"/>
      <sheetName val="Bill No. 2"/>
      <sheetName val="machinery"/>
      <sheetName val="walk way"/>
      <sheetName val="Architecture"/>
      <sheetName val="PT."/>
      <sheetName val="Input"/>
      <sheetName val="Huruf"/>
      <sheetName val="FINISHING"/>
      <sheetName val="STRUKTUR"/>
      <sheetName val="sort"/>
      <sheetName val="Rekapitulasi"/>
      <sheetName val="boq"/>
      <sheetName val="A+Supl."/>
      <sheetName val="7"/>
      <sheetName val="Bldg"/>
      <sheetName val="BQ-Str"/>
      <sheetName val="Bhn"/>
      <sheetName val="Pt"/>
      <sheetName val="Rekap"/>
      <sheetName val="DAFTAR HARGA"/>
      <sheetName val="REF.ONLY"/>
      <sheetName val="INDEX"/>
      <sheetName val="HS_TRG"/>
      <sheetName val="data"/>
      <sheetName val="Cover1"/>
      <sheetName val="DAF-1"/>
      <sheetName val="mu"/>
      <sheetName val="#REF!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mat baja"/>
      <sheetName val="harga baja"/>
      <sheetName val="Peralatan (2)"/>
      <sheetName val="mat_me pipa"/>
      <sheetName val="HB "/>
      <sheetName val="Rekap Direct Cost"/>
      <sheetName val="SPEC"/>
      <sheetName val="Penjumlahan"/>
      <sheetName val="Hrg.Sat"/>
      <sheetName val="UNIT CHILLER"/>
      <sheetName val="H.SAT"/>
      <sheetName val="Ahs.2"/>
      <sheetName val="Ahs.1"/>
      <sheetName val="304_06"/>
      <sheetName val="Cash Flow bulanan"/>
      <sheetName val="I_KAMAR"/>
      <sheetName val="RAB MEK 15 M MB "/>
      <sheetName val="VAC-1"/>
      <sheetName val="Jurnal"/>
      <sheetName val="rab me (by owner) "/>
      <sheetName val="BQ (by owner)"/>
      <sheetName val="rab me (fisik)"/>
      <sheetName val="AC"/>
      <sheetName val="Koef"/>
      <sheetName val="Analisa  (2)"/>
      <sheetName val="Biaya-Lat"/>
      <sheetName val="Mob"/>
      <sheetName val="Analisa STR"/>
      <sheetName val="prime coal"/>
      <sheetName val="arab"/>
      <sheetName val="RAB"/>
      <sheetName val="TOWN"/>
      <sheetName val="Tataudara"/>
      <sheetName val="Listrik"/>
      <sheetName val="合成単価作成表-BLDG"/>
      <sheetName val="DATA GRAFIK"/>
      <sheetName val="rumus"/>
      <sheetName val="Perm. Test"/>
      <sheetName val="UNIT PRICE ANALYSIS (KSN)"/>
      <sheetName val="HRG BHN"/>
      <sheetName val="ah_sanitary1"/>
      <sheetName val="Currency_Rate1"/>
      <sheetName val="Fill_this_out_first___"/>
      <sheetName val="Volume"/>
      <sheetName val="analysis"/>
      <sheetName val="L-TIGA"/>
      <sheetName val="L_TIGA"/>
      <sheetName val="Fab+erect"/>
      <sheetName val="HARGA ALAT"/>
      <sheetName val="R_Srikana"/>
      <sheetName val="UPAH~K"/>
      <sheetName val="ANALIS"/>
      <sheetName val="BAHAN~"/>
      <sheetName val="Kuantitas &amp; Harga"/>
      <sheetName val="AHS Marka"/>
      <sheetName val="AHS Aspal"/>
      <sheetName val="met bab3"/>
      <sheetName val="anal bab8"/>
      <sheetName val="Sat Bahan"/>
      <sheetName val="Sat Alat"/>
      <sheetName val="Sat Upah"/>
      <sheetName val="RKP"/>
      <sheetName val="Analisa Teknik"/>
      <sheetName val="Analisa Upah &amp; Bahan Plum"/>
      <sheetName val="_______-BLDG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QTO-11P"/>
      <sheetName val="BBS-11P"/>
      <sheetName val="QTO_11P"/>
      <sheetName val="4-MVAC"/>
    </sheetNames>
    <sheetDataSet>
      <sheetData sheetId="0"/>
      <sheetData sheetId="1" refreshError="1"/>
      <sheetData sheetId="2" refreshError="1"/>
      <sheetData sheetId="3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ARGA MAT NON STD okk"/>
      <sheetName val="HRG BAHAN &amp; UPAH okk"/>
      <sheetName val="Analis Kusen okk"/>
      <sheetName val="Analisa K"/>
      <sheetName val="Analis ME okk"/>
      <sheetName val="REKAP TOTAL BLOK A &amp; BLOK B"/>
      <sheetName val="ANALISA-SNI-BLOK B"/>
      <sheetName val="REKAP_SNI_BLOK B"/>
      <sheetName val="COMPARASI"/>
      <sheetName val="REKAP TOTAL A+B+FASUM "/>
      <sheetName val="REKAP BLOK B"/>
      <sheetName val="BLOK - B1"/>
      <sheetName val="PLUMBING B1"/>
      <sheetName val="ELEKTRIKAL B1"/>
      <sheetName val="PONTEN"/>
      <sheetName val="POS JAGA"/>
      <sheetName val="KTR PENGELOLA"/>
      <sheetName val="PAGAR KEL &amp; BRC"/>
      <sheetName val="PAVING BLOK DAN ASPAL"/>
      <sheetName val="PJU"/>
      <sheetName val="SAMBUNG DAYA"/>
      <sheetName val="DRAINASE"/>
      <sheetName val="FIRE HIDRAN"/>
      <sheetName val="REKAP ME &amp; PLUMBING OK "/>
      <sheetName val="ELEKTRIKAL A+B+C"/>
      <sheetName val="MEKANIKAL LINGKUNGAN"/>
      <sheetName val="MUSHOLLA"/>
      <sheetName val="REKAP BANG. PRASARANA "/>
      <sheetName val="REKAP BLOK C"/>
      <sheetName val="BLOK -C"/>
      <sheetName val="BLOK - B 2"/>
      <sheetName val="PARKIR RODA 2  2 UNIT"/>
      <sheetName val="PARKIR RODA 2  1 UNIT"/>
      <sheetName val="SHELTER"/>
      <sheetName val="DEPO SAMPAH"/>
      <sheetName val="POWER HOUSE"/>
      <sheetName val="pengelompok"/>
      <sheetName val="rekap std M.E"/>
      <sheetName val="RKP BLOK A TDK DIPAKAI"/>
      <sheetName val="BLOK - A OKKK TDK DIPAKAI"/>
      <sheetName val="REKAP TOTAL  "/>
      <sheetName val="REKAP LANSCAPE DRAINAGE"/>
      <sheetName val="rKP PRASARANA YANG DITUNDA"/>
      <sheetName val="REKAP &amp; BAHAN UPAH ME-tdk pake"/>
      <sheetName val="RKP TOT BANG+ME(TDK DIPAKAI)"/>
      <sheetName val="HRG BAHAN _ UPAH okk"/>
      <sheetName val="A"/>
      <sheetName val="HARGA_MAT_NON_STD_okk"/>
      <sheetName val="HRG_BAHAN_&amp;_UPAH_okk"/>
      <sheetName val="Analis_Kusen_okk"/>
      <sheetName val="Analisa_K"/>
      <sheetName val="Analis_ME_okk"/>
      <sheetName val="REKAP_TOTAL_BLOK_A_&amp;_BLOK_B"/>
      <sheetName val="ANALISA-SNI-BLOK_B"/>
      <sheetName val="REKAP_SNI_BLOK_B"/>
      <sheetName val="REKAP_TOTAL_A+B+FASUM_"/>
      <sheetName val="REKAP_BLOK_B"/>
      <sheetName val="BLOK_-_B1"/>
      <sheetName val="PLUMBING_B1"/>
      <sheetName val="ELEKTRIKAL_B1"/>
      <sheetName val="POS_JAGA"/>
      <sheetName val="KTR_PENGELOLA"/>
      <sheetName val="PAGAR_KEL_&amp;_BRC"/>
      <sheetName val="PAVING_BLOK_DAN_ASPAL"/>
      <sheetName val="SAMBUNG_DAYA"/>
      <sheetName val="FIRE_HIDRAN"/>
      <sheetName val="REKAP_ME_&amp;_PLUMBING_OK_"/>
      <sheetName val="ELEKTRIKAL_A+B+C"/>
      <sheetName val="MEKANIKAL_LINGKUNGAN"/>
      <sheetName val="REKAP_BANG__PRASARANA_"/>
      <sheetName val="REKAP_BLOK_C"/>
      <sheetName val="BLOK_-C"/>
      <sheetName val="BLOK_-_B_2"/>
      <sheetName val="PARKIR_RODA_2__2_UNIT"/>
      <sheetName val="PARKIR_RODA_2__1_UNIT"/>
      <sheetName val="DEPO_SAMPAH"/>
      <sheetName val="POWER_HOUSE"/>
      <sheetName val="rekap_std_M_E"/>
      <sheetName val="RKP_BLOK_A_TDK_DIPAKAI"/>
      <sheetName val="BLOK_-_A_OKKK_TDK_DIPAKAI"/>
      <sheetName val="REKAP_TOTAL__"/>
      <sheetName val="REKAP_LANSCAPE_DRAINAGE"/>
      <sheetName val="rKP_PRASARANA_YANG_DITUNDA"/>
      <sheetName val="REKAP_&amp;_BAHAN_UPAH_ME-tdk_pake"/>
      <sheetName val="RKP_TOT_BANG+ME(TDK_DIPAKAI)"/>
      <sheetName val="HRG_BAHAN___UPAH_okk"/>
      <sheetName val="Fill this out first..."/>
      <sheetName val="Fill this out first___"/>
      <sheetName val="Elektrikal"/>
      <sheetName val="Currency Rate"/>
      <sheetName val="LISTRIK"/>
      <sheetName val="AC"/>
      <sheetName val="H.Satuan"/>
      <sheetName val="Anal Alat BID"/>
      <sheetName val="D _ W sizes"/>
      <sheetName val="harsat_upah"/>
      <sheetName val="PLUMBING"/>
      <sheetName val="Ana. PU"/>
      <sheetName val="ESCON"/>
      <sheetName val="Cover"/>
      <sheetName val="GEDUNG-A"/>
      <sheetName val="HRG BHN"/>
      <sheetName val="QTO-11P"/>
      <sheetName val="Har Sat"/>
      <sheetName val="Analisa"/>
      <sheetName val="Pipe"/>
      <sheetName val="Cash Flow bulanan"/>
      <sheetName val="lanscap_All"/>
      <sheetName val="INDEX"/>
      <sheetName val="Rekapitulasi"/>
      <sheetName val="Cover Daf-2"/>
      <sheetName val="CH"/>
      <sheetName val="Volume"/>
      <sheetName val="FAKTOR"/>
      <sheetName val="Daftar BOQ"/>
      <sheetName val="Reference"/>
      <sheetName val="HARGA MATERIAL"/>
      <sheetName val="Sub"/>
      <sheetName val="RAP"/>
      <sheetName val="HARGA_MAT_NON_STD_okk1"/>
      <sheetName val="HRG_BAHAN_&amp;_UPAH_okk1"/>
      <sheetName val="Analis_Kusen_okk1"/>
      <sheetName val="Analisa_K1"/>
      <sheetName val="Analis_ME_okk1"/>
      <sheetName val="REKAP_TOTAL_BLOK_A_&amp;_BLOK_B1"/>
      <sheetName val="ANALISA-SNI-BLOK_B1"/>
      <sheetName val="REKAP_SNI_BLOK_B1"/>
      <sheetName val="REKAP_TOTAL_A+B+FASUM_1"/>
      <sheetName val="REKAP_BLOK_B1"/>
      <sheetName val="BLOK_-_B11"/>
      <sheetName val="PLUMBING_B11"/>
      <sheetName val="ELEKTRIKAL_B11"/>
      <sheetName val="POS_JAGA1"/>
      <sheetName val="KTR_PENGELOLA1"/>
      <sheetName val="PAGAR_KEL_&amp;_BRC1"/>
      <sheetName val="PAVING_BLOK_DAN_ASPAL1"/>
      <sheetName val="SAMBUNG_DAYA1"/>
      <sheetName val="FIRE_HIDRAN1"/>
      <sheetName val="REKAP_ME_&amp;_PLUMBING_OK_1"/>
      <sheetName val="ELEKTRIKAL_A+B+C1"/>
      <sheetName val="MEKANIKAL_LINGKUNGAN1"/>
      <sheetName val="REKAP_BANG__PRASARANA_1"/>
      <sheetName val="REKAP_BLOK_C1"/>
      <sheetName val="BLOK_-C1"/>
      <sheetName val="BLOK_-_B_21"/>
      <sheetName val="PARKIR_RODA_2__2_UNIT1"/>
      <sheetName val="PARKIR_RODA_2__1_UNIT1"/>
      <sheetName val="DEPO_SAMPAH1"/>
      <sheetName val="POWER_HOUSE1"/>
      <sheetName val="rekap_std_M_E1"/>
      <sheetName val="RKP_BLOK_A_TDK_DIPAKAI1"/>
      <sheetName val="BLOK_-_A_OKKK_TDK_DIPAKAI1"/>
      <sheetName val="REKAP_TOTAL__1"/>
      <sheetName val="REKAP_LANSCAPE_DRAINAGE1"/>
      <sheetName val="rKP_PRASARANA_YANG_DITUNDA1"/>
      <sheetName val="REKAP_&amp;_BAHAN_UPAH_ME-tdk_pake1"/>
      <sheetName val="RKP_TOT_BANG+ME(TDK_DIPAKAI)1"/>
      <sheetName val="HRG_BAHAN___UPAH_okk1"/>
      <sheetName val="struktur tdk dipakai"/>
      <sheetName val="TOWN"/>
      <sheetName val="BOQ-Indonesia"/>
      <sheetName val="Kuantitas &amp; Harga"/>
      <sheetName val="BOQ (1-3)"/>
      <sheetName val="4-Basic Price"/>
      <sheetName val="New MADC"/>
      <sheetName val="Informasi"/>
      <sheetName val="ANL STR"/>
      <sheetName val="Bahan "/>
      <sheetName val="Upah"/>
      <sheetName val="Pekerjaan "/>
      <sheetName val="DAF-2"/>
      <sheetName val="S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leqoq"/>
      <sheetName val="IPL_SCHEDULE"/>
      <sheetName val="UU_PR-4&amp;5"/>
      <sheetName val="BBS (UU_PR-4)"/>
      <sheetName val="BBS (UU_PR-5)"/>
      <sheetName val="Prod"/>
      <sheetName val="FORM X COST"/>
      <sheetName val="dongia (2)"/>
      <sheetName val="LKVL-CK-HT-GD1"/>
      <sheetName val="giathanh1"/>
      <sheetName val="chitimc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Sheet1"/>
      <sheetName val="C"/>
      <sheetName val="Breakdown Instrument"/>
      <sheetName val="Sch.6"/>
      <sheetName val="Notes"/>
      <sheetName val="Detail"/>
      <sheetName val="Detail by Cat"/>
      <sheetName val="ESCON"/>
      <sheetName val="table"/>
      <sheetName val="4-MVAC"/>
      <sheetName val="NM"/>
      <sheetName val="RINC FIN T4  _3_"/>
      <sheetName val="RINC FIN T4  _2_"/>
      <sheetName val="STR"/>
      <sheetName val="Appendix 2(SatDas)"/>
      <sheetName val="H.Satuan"/>
      <sheetName val="RAB"/>
      <sheetName val="HRG BAHAN &amp; UPAH okk"/>
      <sheetName val="Analis Kusen okk"/>
      <sheetName val="NAMES"/>
      <sheetName val="name"/>
      <sheetName val="Rate"/>
      <sheetName val="DHS AC"/>
      <sheetName val="S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leqoq"/>
      <sheetName val="Memb Schd"/>
      <sheetName val="Inter. 1(1)&amp;2(0)"/>
      <sheetName val="Inter. 1(1)&amp;2(1)"/>
    </sheetNames>
    <sheetDataSet>
      <sheetData sheetId="0" refreshError="1"/>
      <sheetData sheetId="1" refreshError="1"/>
      <sheetData sheetId="2" refreshError="1"/>
      <sheetData sheetId="3" refreshError="1"/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PRELIM"/>
      <sheetName val="Lobby"/>
      <sheetName val="Rest"/>
      <sheetName val="Junior"/>
      <sheetName val="Senior"/>
      <sheetName val="SCH"/>
      <sheetName val="DATA"/>
      <sheetName val="BAG-III"/>
      <sheetName val="4-MVAC"/>
      <sheetName val="PPC"/>
      <sheetName val="Ahs.2"/>
      <sheetName val="Ahs.1"/>
      <sheetName val="ESCON"/>
      <sheetName val="STR"/>
      <sheetName val="DAF_7"/>
      <sheetName val="DAF-7"/>
      <sheetName val="Sat Bah &amp; Up"/>
      <sheetName val="harga"/>
      <sheetName val="SAP"/>
      <sheetName val="SAT-BHN"/>
      <sheetName val="UPAH"/>
      <sheetName val="DAF-4"/>
      <sheetName val="iTEM hARSAT"/>
      <sheetName val="IGD - nstdr (A)"/>
      <sheetName val="MK"/>
      <sheetName val="Cover"/>
      <sheetName val="4"/>
      <sheetName val="Memb Schd"/>
      <sheetName val="analisa"/>
      <sheetName val="satuan_pek_ars"/>
      <sheetName val="Harga satuan"/>
      <sheetName val="Plumbing"/>
      <sheetName val="DHS AC"/>
      <sheetName val="villa"/>
      <sheetName val="Ahs_2"/>
      <sheetName val="Ahs_1"/>
      <sheetName val="GIP"/>
      <sheetName val="HM.MEK."/>
      <sheetName val="P.UTMA"/>
      <sheetName val="ANA-PIPA"/>
      <sheetName val="GV10k"/>
      <sheetName val="KITZ"/>
      <sheetName val="U,Psg.pipa"/>
      <sheetName val="anal"/>
      <sheetName val="D.1.5"/>
      <sheetName val="QTO-11P"/>
      <sheetName val="IPL_SCHEDULE"/>
      <sheetName val="Rab"/>
      <sheetName val="NP 7"/>
      <sheetName val="STRUKTUR"/>
      <sheetName val="Daf Harga"/>
      <sheetName val="Bill"/>
      <sheetName val="Rekap Bill"/>
      <sheetName val="An_ Harga"/>
      <sheetName val="Peralatan"/>
      <sheetName val="COST-SUM"/>
      <sheetName val="A"/>
      <sheetName val="Har-mat"/>
      <sheetName val="Rate"/>
      <sheetName val="harsa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PRELIM"/>
      <sheetName val="Lobby"/>
      <sheetName val="Rest"/>
      <sheetName val="Junior"/>
      <sheetName val="Senior"/>
      <sheetName val="PEK. TAMBAH"/>
      <sheetName val="SCH"/>
      <sheetName val="DAFTAR BAHAN"/>
      <sheetName val="ANALISA"/>
      <sheetName val="PPC"/>
      <sheetName val="DATA"/>
      <sheetName val="BAG-III"/>
      <sheetName val="daftar harga satuan"/>
      <sheetName val="Ahs.2"/>
      <sheetName val="Ahs.1"/>
      <sheetName val="COST-SUM"/>
      <sheetName val="iTEM hARSAT"/>
      <sheetName val="DAF-4"/>
      <sheetName val="DAF-1"/>
      <sheetName val="harsat"/>
      <sheetName val="ANLS_ BETON R. KELAS"/>
      <sheetName val="Cover"/>
      <sheetName val="Material"/>
      <sheetName val="FINISHING"/>
      <sheetName val="ANK"/>
      <sheetName val="Bahan"/>
      <sheetName val="#REF"/>
      <sheetName val="SAP"/>
      <sheetName val="UPAH"/>
      <sheetName val="Daftar Harga Bahan"/>
      <sheetName val="Elektrikal"/>
      <sheetName val="H.Satuan"/>
      <sheetName val="Rate"/>
      <sheetName val="HRG BHN"/>
      <sheetName val="STR"/>
      <sheetName val="REKAP_STRUKTUR"/>
      <sheetName val="bhn-upah"/>
      <sheetName val="DAF_9"/>
      <sheetName val="I-KAMAR"/>
      <sheetName val="Isolasi Luar Dalam"/>
      <sheetName val="Isolasi Luar"/>
      <sheetName val="RPP01 6"/>
      <sheetName val="PEK__TAMBAH"/>
      <sheetName val="DAFTAR_BAHAN"/>
      <sheetName val="daftar_harga_satuan"/>
      <sheetName val="Ahs_2"/>
      <sheetName val="Ahs_1"/>
      <sheetName val="iTEM_hARSAT"/>
      <sheetName val="4-MVAC"/>
      <sheetName val="DAF_1"/>
      <sheetName val="DAF_4"/>
      <sheetName val="anal_hs"/>
      <sheetName val="rekap"/>
      <sheetName val="5-Peralatan"/>
      <sheetName val="MK"/>
      <sheetName val="D-1"/>
      <sheetName val="mat&amp;upah"/>
      <sheetName val="Breakdown Structure"/>
      <sheetName val="Breakdown Architecture"/>
      <sheetName val="daf-3(OK)"/>
      <sheetName val="daf-7(OK)"/>
      <sheetName val="A-ars"/>
      <sheetName val="Memb Schd"/>
      <sheetName val="satuan_pek_ars"/>
      <sheetName val="Coef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G-2"/>
      <sheetName val="CAT_HRG"/>
      <sheetName val="BAG-1"/>
      <sheetName val="BAG-3"/>
      <sheetName val="BAG-4"/>
      <sheetName val="BAG-5"/>
      <sheetName val="BAG-6"/>
      <sheetName val="BAG-7"/>
      <sheetName val="BAG-8"/>
      <sheetName val="BAG-9"/>
      <sheetName val="BAG-10"/>
      <sheetName val="BAG-11"/>
      <sheetName val="BAG-12"/>
      <sheetName val="BAG-13"/>
      <sheetName val="TOTAL"/>
      <sheetName val="GRAND TOTA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DAF-8"/>
      <sheetName val="Cover Basment"/>
      <sheetName val="Cover Tower A"/>
      <sheetName val="Cover Tower B"/>
      <sheetName val="Cover Tower C"/>
      <sheetName val="Cover Tower D"/>
      <sheetName val="PK- Basement"/>
      <sheetName val="PK- Tower A"/>
      <sheetName val="PK- Tower D"/>
      <sheetName val="PK- Tower B"/>
      <sheetName val="PK- Tower C"/>
      <sheetName val="Anl Hrg"/>
      <sheetName val="Hrg Sat"/>
      <sheetName val="Cover Daf_2"/>
      <sheetName val="Har-mat"/>
      <sheetName val="BAG_2"/>
      <sheetName val="I-KAMAR"/>
      <sheetName val="Currency Rate"/>
      <sheetName val="Cover_Basment"/>
      <sheetName val="Cover_Tower_A"/>
      <sheetName val="Cover_Tower_B"/>
      <sheetName val="Cover_Tower_C"/>
      <sheetName val="Cover_Tower_D"/>
      <sheetName val="PK-_Basement"/>
      <sheetName val="PK-_Tower_A"/>
      <sheetName val="PK-_Tower_D"/>
      <sheetName val="PK-_Tower_B"/>
      <sheetName val="PK-_Tower_C"/>
      <sheetName val="Anl_Hrg"/>
      <sheetName val="Hrg_Sat"/>
      <sheetName val="Cover_Daf_2"/>
      <sheetName val="DF_4 _3_"/>
      <sheetName val="COVER PAKET"/>
      <sheetName val="DAFTAR. D1"/>
      <sheetName val="DAFTAR. D2"/>
      <sheetName val="an.mek"/>
      <sheetName val="an.lstrk"/>
      <sheetName val="Cgver Tower A"/>
      <sheetName val="PK- Basemant"/>
      <sheetName val="PK- Tower _x0004_"/>
      <sheetName val="Bover Daf_2"/>
      <sheetName val="H`r-mat"/>
      <sheetName val="BAG-2"/>
      <sheetName val="Analisa"/>
      <sheetName val="Mall"/>
      <sheetName val="Bill-19"/>
      <sheetName val="sum-bill22"/>
      <sheetName val="An Arsitektur"/>
      <sheetName val="An Struktur"/>
      <sheetName val="STR"/>
      <sheetName val="Hrg.Sat"/>
      <sheetName val="I-ME"/>
      <sheetName val="Cover Daf-2"/>
      <sheetName val="anal"/>
      <sheetName val="I_KAMAR"/>
      <sheetName val="HARGA MATERIAL"/>
      <sheetName val="Ahs.2"/>
      <sheetName val="Ahs.1"/>
      <sheetName val="Kolom UT"/>
      <sheetName val="upah"/>
      <sheetName val="PK- Tower _x005f_x0004_"/>
      <sheetName val="A_ars"/>
      <sheetName val="Rekap"/>
      <sheetName val="alat"/>
      <sheetName val="questionaire-BOQ"/>
      <sheetName val="A"/>
      <sheetName val="name"/>
      <sheetName val="BQ"/>
      <sheetName val="Material"/>
      <sheetName val="PK- Tower _x005f_x005f_x005f_x0004_"/>
      <sheetName val="갑지"/>
      <sheetName val="PK- Tower _x005f_x005f_x005f_x005f_x005f_x005f_x0"/>
      <sheetName val="Pipe"/>
      <sheetName val="5.2."/>
      <sheetName val="AC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dt"/>
      <sheetName val="Rekapi"/>
      <sheetName val="AHS"/>
      <sheetName val="Bul"/>
      <sheetName val="Alat"/>
      <sheetName val="Subkont"/>
      <sheetName val="Bahan"/>
      <sheetName val="Upah1"/>
      <sheetName val="Rekap"/>
      <sheetName val="Bang A"/>
      <sheetName val="Bang B"/>
      <sheetName val="Sarana"/>
      <sheetName val="Asrama"/>
      <sheetName val="Utility"/>
      <sheetName val="Kamar"/>
      <sheetName val="Material"/>
      <sheetName val="Upah"/>
      <sheetName val="Analisa"/>
      <sheetName val="Bhn"/>
      <sheetName val="ELEC STIS"/>
      <sheetName val="st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  <sheetData sheetId="19" refreshError="1"/>
      <sheetData sheetId="20" refreshError="1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AC"/>
      <sheetName val="ELECTRIC"/>
      <sheetName val="TELEPON"/>
      <sheetName val="fire fighting"/>
      <sheetName val="PLUMBING"/>
      <sheetName val="PLB-Basement 2.8.2-R1"/>
      <sheetName val="Cov Daf 4 ME"/>
      <sheetName val="Cov Daf 4.1"/>
      <sheetName val="Daf 4.1 Plumb"/>
      <sheetName val="Cov Daf 4.2"/>
      <sheetName val="Daf 4.2 VAC"/>
      <sheetName val="Cov Daf 4.3"/>
      <sheetName val="Daf 4.3 Elek"/>
      <sheetName val="Cov Daf 4.4"/>
      <sheetName val="Daf 4.4 Telp"/>
      <sheetName val="Cov Daf 4.5"/>
      <sheetName val="Daf 4.5 Lain2"/>
      <sheetName val="Penjuml ME"/>
      <sheetName val="Cov Daf 5"/>
      <sheetName val="Daf 5 Tam-Kur"/>
      <sheetName val="spek"/>
      <sheetName val="STR"/>
      <sheetName val="price"/>
      <sheetName val="BAG_2"/>
      <sheetName val="I_KAMAR"/>
      <sheetName val="escon"/>
      <sheetName val="fire_fighting"/>
      <sheetName val="PLB-Basement_2_8_2-R1"/>
      <sheetName val="Cov_Daf_4_ME"/>
      <sheetName val="Cov_Daf_4_1"/>
      <sheetName val="Daf_4_1_Plumb"/>
      <sheetName val="Cov_Daf_4_2"/>
      <sheetName val="Daf_4_2_VAC"/>
      <sheetName val="Cov_Daf_4_3"/>
      <sheetName val="Daf_4_3_Elek"/>
      <sheetName val="Cov_Daf_4_4"/>
      <sheetName val="Daf_4_4_Telp"/>
      <sheetName val="Cov_Daf_4_5"/>
      <sheetName val="Daf_4_5_Lain2"/>
      <sheetName val="Penjuml_ME"/>
      <sheetName val="Cov_Daf_5"/>
      <sheetName val="Daf_5_Tam-Kur"/>
      <sheetName val="Material"/>
      <sheetName val="Ch"/>
      <sheetName val="Pipe"/>
      <sheetName val="I-KAMAR"/>
      <sheetName val="BAG-2"/>
      <sheetName val="DAF_1"/>
      <sheetName val="ࢤ됯幼"/>
      <sheetName val=""/>
      <sheetName val="|^"/>
      <sheetName val="_&gt;__x001d___x001d_ÿ"/>
      <sheetName val="°|^"/>
      <sheetName val="^@X_x0009__x0019_5"/>
      <sheetName val="___"/>
      <sheetName val="Analisa"/>
      <sheetName val="SUMMARY ME"/>
      <sheetName val="TE TS FA LAN MATV"/>
      <sheetName val="Bill_1_VAC_Supply_A"/>
      <sheetName val="ࢤ됯幼_5⸰5㄀_x001d_⣨_x001d_놭幼鋀ة庀Ġ䮮_x0001__xffff__xffff_㄰5ㄈ_x001d_ᢀ5䮮_x0001_庀Ġ"/>
      <sheetName val="|^__5_0.5__1_x001d__è(_x001d__­±|^_¶_x0012_)_x0014_"/>
      <sheetName val="ࢤ됯幼_5⸰5㄀_x001d_⣨_x001d_놭幼退኶颀ᐩﶈ_x0001__xffff__xffff_㄰5ㄈ_x001d_ᢀ5ﶈ_x0001_颀ᐩ"/>
      <sheetName val="__5_0.5__1_x001d__è(_x001d__­±|^@X_x0009__×)_x0014__x0018_Û_x0001_"/>
      <sheetName val="^@X _x0019_5"/>
      <sheetName val="Daf 1"/>
      <sheetName val="Rekap Progress"/>
      <sheetName val="L-TIGA"/>
      <sheetName val="L_TIGA"/>
      <sheetName val="D-1"/>
      <sheetName val="__5_0.5__1_x001d__è(_x001d__­±|^@X _×)_x0014__x0018_Û_x0001_"/>
      <sheetName val="_&gt;__x001d___x001d_ÿ___+___x001d_______x001d_____x001d___x001d_+_+__x0001_"/>
      <sheetName val="°|^_¶_x0012__x0019_5______¶_x0012__x0008_1_x001d__&lt;)_x001d___°|^"/>
      <sheetName val="^@X_x0009__x0019_5_____@X_x0009__x0008_1_x001d__&lt;)_x001d___°|^@X"/>
      <sheetName val="____5_5__x001d___x001d______G__x0001____5__x001d__5__x0001__G"/>
      <sheetName val="____5_5__x001d___x001d_________x0001____5__x001d__5__x0001___"/>
      <sheetName val="^@X _x0019_5_____@X _x0008_1_x001d__&lt;)_x001d___°|^@X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F-1"/>
      <sheetName val="daf-2(OK)"/>
      <sheetName val="daf-3(OK)"/>
      <sheetName val="DAF-4OK"/>
      <sheetName val="daf-5OK"/>
      <sheetName val="daf-6OK"/>
      <sheetName val="daf-7(OK)"/>
      <sheetName val="DAF-8"/>
      <sheetName val="daf-9"/>
      <sheetName val="DAF-10"/>
      <sheetName val="DAF-11"/>
      <sheetName val="daf_3_OK_"/>
      <sheetName val="daf_7_OK_"/>
      <sheetName val="_xffff__xffff__xffff__xffff__xffff_"/>
      <sheetName val="Rekap Upah"/>
      <sheetName val="DAF-2"/>
      <sheetName val="plumbing"/>
      <sheetName val="Bill-19"/>
      <sheetName val="sum-bill22"/>
      <sheetName val="An Arsitektur"/>
      <sheetName val="An Struktur"/>
      <sheetName val="chitimc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AS'97"/>
      <sheetName val="4-MVAC"/>
      <sheetName val="Ana"/>
      <sheetName val="EVALUASI"/>
      <sheetName val="Lain2"/>
      <sheetName val="CPar"/>
      <sheetName val="PivotTabel"/>
      <sheetName val="112-885"/>
      <sheetName val="Anl.+"/>
      <sheetName val="BAG_2"/>
      <sheetName val="_____"/>
      <sheetName val="AO_UMUM"/>
      <sheetName val="Seratus Lima Puluh Tiga"/>
      <sheetName val="Sheet1"/>
      <sheetName val="DAF-5"/>
      <sheetName val="Cover"/>
      <sheetName val="BAG-2"/>
      <sheetName val="Bid Summary"/>
      <sheetName val="ARS"/>
      <sheetName val="I_KAMAR"/>
      <sheetName val="ANALISA PEK.UMUM"/>
      <sheetName val="analisa teknis"/>
      <sheetName val="daffin"/>
      <sheetName val="Rekap_Upah"/>
      <sheetName val="An_Arsitektur"/>
      <sheetName val="An_Struktur"/>
      <sheetName val="dongia_(2)"/>
      <sheetName val="THPDMoi__(2)"/>
      <sheetName val="TONG_HOP_VL-NC"/>
      <sheetName val="TONGKE3p_"/>
      <sheetName val="TH_VL,_NC,_DDHT_Thanhphuoc"/>
      <sheetName val="DON_GIA"/>
      <sheetName val="t-h_HA_THE"/>
      <sheetName val="CHITIET_VL-NC-TT_-1p"/>
      <sheetName val="TONG_HOP_VL-NC_TT"/>
      <sheetName val="TH_XL"/>
      <sheetName val="CHITIET_VL-NC"/>
      <sheetName val="CHITIET_VL-NC-TT-3p"/>
      <sheetName val="KPVC-BD_"/>
      <sheetName val="DAFTAR HARGA SATUAN MATERIAL"/>
      <sheetName val="HRG BHN"/>
      <sheetName val="FORM 3A"/>
      <sheetName val="BOW"/>
      <sheetName val="tulang"/>
      <sheetName val="hit.BKMM"/>
      <sheetName val="_x005f_xffff__x005f_xffff__x005f_xffff__x005f_xffff__xf"/>
      <sheetName val="Alat"/>
      <sheetName val="Analisa Gabungan"/>
      <sheetName val="Sub"/>
      <sheetName val="I-KAMAR"/>
      <sheetName val="DAF_2"/>
      <sheetName val="Sheet2"/>
      <sheetName val="UPAH &amp; BHN ARS"/>
      <sheetName val="AHS ARS"/>
      <sheetName val="HSD"/>
      <sheetName val="RAB-SPL2"/>
      <sheetName val="Lt 3"/>
      <sheetName val="‎КМ‎ Bosnian (Cyrillic)‎"/>
      <sheetName val="Material"/>
      <sheetName val="34"/>
      <sheetName val="35"/>
      <sheetName val="27"/>
      <sheetName val="46"/>
      <sheetName val="4"/>
      <sheetName val="33"/>
      <sheetName val="9"/>
      <sheetName val="8"/>
      <sheetName val="26"/>
      <sheetName val="42"/>
      <sheetName val="32"/>
      <sheetName val="41"/>
      <sheetName val="31"/>
      <sheetName val="64.6"/>
      <sheetName val="37"/>
      <sheetName val="62"/>
      <sheetName val="7"/>
      <sheetName val="61"/>
      <sheetName val="24"/>
      <sheetName val="43"/>
      <sheetName val="53 "/>
      <sheetName val="54"/>
      <sheetName val="MH CIVIL"/>
      <sheetName val="30"/>
      <sheetName val="64.14"/>
      <sheetName val="64.1"/>
      <sheetName val="64.2"/>
      <sheetName val="64.3"/>
      <sheetName val="64.4"/>
      <sheetName val="64.5"/>
      <sheetName val="17"/>
      <sheetName val="51"/>
      <sheetName val="38"/>
      <sheetName val="52"/>
      <sheetName val="23"/>
      <sheetName val="22"/>
      <sheetName val="20"/>
      <sheetName val="49"/>
      <sheetName val="28"/>
      <sheetName val="29"/>
      <sheetName val="36.3"/>
      <sheetName val="36.4"/>
      <sheetName val="36.2"/>
      <sheetName val="36.1"/>
      <sheetName val="44"/>
      <sheetName val="45"/>
      <sheetName val="63"/>
      <sheetName val="ANALISA_PEK_UMUM"/>
      <sheetName val="Anl_+"/>
      <sheetName val="Seratus_Lima_Puluh_Tiga"/>
      <sheetName val="Bid_Summary"/>
      <sheetName val="analisa_teknis"/>
      <sheetName val="TOTAL"/>
      <sheetName val="CAT_HAR"/>
      <sheetName val="SAT-BHN"/>
      <sheetName val="Analisa"/>
      <sheetName val="keb-BHN"/>
      <sheetName val="sche"/>
      <sheetName val="AHS"/>
      <sheetName val="List material"/>
      <sheetName val="Temporer"/>
      <sheetName val="DAF_5"/>
      <sheetName val="DAF_8"/>
      <sheetName val="ff__x005f_xffff__x005f_xffff__x005f_xffff__x005f_xffff_"/>
      <sheetName val="Sheet5"/>
      <sheetName val="ESCON"/>
      <sheetName val="FINISHING"/>
      <sheetName val="dasboard"/>
      <sheetName val="str"/>
      <sheetName val="me"/>
      <sheetName val="REVISI (5)-30-"/>
      <sheetName val="DAFTAR 7"/>
      <sheetName val="DAF_1"/>
      <sheetName val="DAFTAR_8"/>
      <sheetName val="Plat"/>
      <sheetName val="Plumbing &amp; Fire"/>
      <sheetName val="____ Bosnian (Cyrillic)_"/>
      <sheetName val="AC"/>
      <sheetName val="Pipe"/>
      <sheetName val="B - Norelec"/>
      <sheetName val="A"/>
      <sheetName val="An_Arsitekt@Á"/>
      <sheetName val="UNIT PRICE"/>
      <sheetName val="Sch.1"/>
      <sheetName val="bahan"/>
      <sheetName val="Rekap_Upah1"/>
      <sheetName val="An_Arsitektur1"/>
      <sheetName val="An_Struktur1"/>
      <sheetName val="dongia_(2)1"/>
      <sheetName val="THPDMoi__(2)1"/>
      <sheetName val="TONG_HOP_VL-NC1"/>
      <sheetName val="TONGKE3p_1"/>
      <sheetName val="TH_VL,_NC,_DDHT_Thanhphuoc1"/>
      <sheetName val="DON_GIA1"/>
      <sheetName val="t-h_HA_THE1"/>
      <sheetName val="CHITIET_VL-NC-TT_-1p1"/>
      <sheetName val="TONG_HOP_VL-NC_TT1"/>
      <sheetName val="TH_XL1"/>
      <sheetName val="CHITIET_VL-NC1"/>
      <sheetName val="CHITIET_VL-NC-TT-3p1"/>
      <sheetName val="KPVC-BD_1"/>
      <sheetName val="hit_BKMM"/>
      <sheetName val="DAFTAR_HARGA_SATUAN_MATERIAL"/>
      <sheetName val="HRG_BHN"/>
      <sheetName val="Analisa_Gabungan"/>
      <sheetName val="FORM_3A"/>
      <sheetName val="UPAH_&amp;_BHN_ARS"/>
      <sheetName val="AHS_ARS"/>
      <sheetName val="WBS (2)"/>
      <sheetName val="WBS (3)"/>
      <sheetName val="WBS (0)"/>
      <sheetName val="WBS (1)"/>
      <sheetName val="NP"/>
      <sheetName val="AGG A"/>
      <sheetName val="AGG B"/>
      <sheetName val="DAFTAR BAHAN"/>
      <sheetName val="DAFTAR ALAT"/>
      <sheetName val="ATBL"/>
      <sheetName val="RAB"/>
      <sheetName val="DAFTAR UPAH"/>
      <sheetName val="REKAP"/>
      <sheetName val="MARKA"/>
      <sheetName val="PAS. BATU"/>
      <sheetName val="PRIME COAT"/>
      <sheetName val="TACK COAT"/>
      <sheetName val="URUKAN"/>
      <sheetName val="Hsatbahan"/>
      <sheetName val="tgp-02"/>
      <sheetName val="HARGA ALAT"/>
      <sheetName val="HARGA SATUAN"/>
      <sheetName val="MAPP"/>
      <sheetName val="rek det 1-3"/>
      <sheetName val="PANELKAST"/>
      <sheetName val="rumus"/>
      <sheetName val="villa"/>
      <sheetName val="TE TS FA LAN MATV"/>
      <sheetName val="Basic Price"/>
      <sheetName val="Parts list (060411)"/>
      <sheetName val="Rate"/>
      <sheetName val="BQ 2.3 PODIUM"/>
      <sheetName val="CATATAN HARGA (Int)"/>
      <sheetName val="Cover Daft 2"/>
      <sheetName val="DAFTAR NO.1"/>
      <sheetName val="DAF 2"/>
      <sheetName val="DAF-3"/>
      <sheetName val="SAP"/>
      <sheetName val="HB "/>
      <sheetName val="Analisa 2"/>
      <sheetName val="DAF_3"/>
      <sheetName val="Grand summary"/>
      <sheetName val="304_06"/>
      <sheetName val="CE ars"/>
      <sheetName val="Panel,feeder,elek"/>
      <sheetName val="4-Basic Price"/>
      <sheetName val="VAC-1"/>
      <sheetName val="DATA"/>
      <sheetName val="UPAH"/>
      <sheetName val="An_ åÍ_B"/>
      <sheetName val="H.Satuan"/>
      <sheetName val="struktur"/>
      <sheetName val="Bag_1"/>
      <sheetName val="An_ åÍ_B___"/>
      <sheetName val="Anal. Pancang"/>
      <sheetName val="Cirya"/>
      <sheetName val="An_K"/>
      <sheetName val="HARGA DASAR"/>
      <sheetName val="DIV.3"/>
      <sheetName val="DIV.8"/>
      <sheetName val="DIV.9"/>
      <sheetName val="hardas"/>
      <sheetName val="divI"/>
      <sheetName val="HARGA"/>
      <sheetName val="Sales Parameter"/>
      <sheetName val="Parameter"/>
      <sheetName val="divII"/>
      <sheetName val="pel  rut bahu jln mat"/>
      <sheetName val="LUMPSUM"/>
      <sheetName val="HS Bhn&amp;Upah"/>
      <sheetName val="Beton"/>
      <sheetName val="Aspal (2)"/>
      <sheetName val="Relok-PJU"/>
      <sheetName val="_x005f_x005f_x005f_xffff__x005f_x005f_x005f_xffff__x005"/>
      <sheetName val="ff__x005f_x005f_x005f_xffff__x005f_x005f_x005f_xffff__x"/>
      <sheetName val="upah_borong"/>
      <sheetName val="satuan_pek"/>
      <sheetName val="Hrg_Sat"/>
      <sheetName val="formminat"/>
      <sheetName val="D &amp; W sizes"/>
      <sheetName val="Daftar Harga Material"/>
      <sheetName val="HARSAT"/>
      <sheetName val="bau"/>
      <sheetName val="RAB ELEKTRIKAL 1A "/>
      <sheetName val="RAB MEKANIKAL 1A"/>
      <sheetName val="REKAP RAB"/>
      <sheetName val="RAB DIESEL GENSET 1A"/>
      <sheetName val="Anls"/>
      <sheetName val="LAL - PASAR PAGI "/>
      <sheetName val="DAFT_HARG_SAT_PEK."/>
      <sheetName val="CH"/>
      <sheetName val="BOQ"/>
      <sheetName val="DAFT_ALAT,UPAH &amp; MAT"/>
      <sheetName val="ANALISA STR &amp; ARS"/>
      <sheetName val="DAFT. HARG. KUSEN"/>
      <sheetName val="DFT. HRG. BHN"/>
      <sheetName val="Galian 1"/>
      <sheetName val="HARGA Sat- Dasar 1"/>
      <sheetName val="Qty"/>
      <sheetName val="8LT 12"/>
      <sheetName val="bhn-upah"/>
      <sheetName val="f__x005f_x005f_x005f_xffff__x005f_x005f_x005f_xffff__xf"/>
      <sheetName val="ffff__x005f_x005f_x005f_xffff__x005f_x005f_x005f_xffff_"/>
      <sheetName val="Har Sat"/>
      <sheetName val="Duc_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dt"/>
      <sheetName val="Rekapi"/>
      <sheetName val="AHS"/>
      <sheetName val="Bul"/>
      <sheetName val="Alat"/>
      <sheetName val="Subkont"/>
      <sheetName val="Bahan"/>
      <sheetName val="Upah1"/>
      <sheetName val="Rekap"/>
      <sheetName val="Bang A"/>
      <sheetName val="Bang B"/>
      <sheetName val="Sarana"/>
      <sheetName val="Asrama"/>
      <sheetName val="Utility"/>
      <sheetName val="Kamar"/>
      <sheetName val="Material"/>
      <sheetName val="Upah"/>
      <sheetName val="Analisa"/>
      <sheetName val="SAP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Tata Suara"/>
      <sheetName val="Titik kabel"/>
      <sheetName val="Tata Suara (2)"/>
      <sheetName val="Tata Suara (3)"/>
      <sheetName val="Tata Suara (4)"/>
      <sheetName val="Ahs.2"/>
      <sheetName val="Ahs.1"/>
      <sheetName val="harsat"/>
      <sheetName val="analisa"/>
      <sheetName val="HRG- UPAH"/>
      <sheetName val="ES_PARK"/>
      <sheetName val="chitimc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KPVC-BD "/>
      <sheetName val="VCV-BE-TONG"/>
      <sheetName val="ESCON"/>
      <sheetName val="bau"/>
      <sheetName val="MAPP"/>
      <sheetName val="rek det 1-3"/>
      <sheetName val="ES-PARK"/>
      <sheetName val="TOTAL"/>
      <sheetName val="PREM"/>
      <sheetName val="bhn-upah"/>
      <sheetName val="HRG BHN"/>
      <sheetName val="RAB-Bupati"/>
      <sheetName val="BAG_2"/>
      <sheetName val="Plumbing"/>
      <sheetName val="Fire Fighting"/>
      <sheetName val="daf-3(OK)"/>
      <sheetName val="daf-7(OK)"/>
      <sheetName val="Grand summary"/>
      <sheetName val="Harsat Upah"/>
      <sheetName val="Material"/>
      <sheetName val="VC"/>
      <sheetName val="Tiepdia"/>
      <sheetName val="CHITIET VL-NC-TT-3p"/>
      <sheetName val="TDTKP"/>
      <sheetName val="TDTKP1"/>
      <sheetName val="Sheet1"/>
      <sheetName val="DAF-5"/>
      <sheetName val="daf_3_OK_"/>
      <sheetName val="daf_7_OK_"/>
      <sheetName val="bhn_upah"/>
      <sheetName val="H.Satuan"/>
      <sheetName val="FINISHING"/>
      <sheetName val="Bill.2. PL - SUPPLY A"/>
      <sheetName val="2.1"/>
      <sheetName val="2.2"/>
      <sheetName val="2_1"/>
      <sheetName val="Analisa Harga"/>
      <sheetName val="2_2"/>
      <sheetName val="Summary"/>
      <sheetName val="AC-C"/>
      <sheetName val="PMK"/>
      <sheetName val="Bahan"/>
      <sheetName val="villa"/>
      <sheetName val="rab lt 2 bo"/>
      <sheetName val="GRAND REKAP"/>
      <sheetName val="RAB Arsitektur B.Penunjang"/>
      <sheetName val="Hargamat"/>
      <sheetName val="I_KAMAR"/>
      <sheetName val="304_06"/>
      <sheetName val="Analisa STR"/>
      <sheetName val="Harsat Bahan"/>
      <sheetName val="LAL - PASAR PAGI "/>
      <sheetName val="A H S P"/>
      <sheetName val="BP"/>
      <sheetName val="Isolasi Luar Dalam"/>
      <sheetName val="Isolasi Luar"/>
      <sheetName val="rekap.c"/>
      <sheetName val="ANALISA SOFT"/>
      <sheetName val="rumus"/>
      <sheetName val="Daf No.3 Tsuara"/>
      <sheetName val="Mall"/>
      <sheetName val="DUCTING "/>
      <sheetName val="DAF_7"/>
      <sheetName val="Pek. Utama"/>
      <sheetName val="Tata_Suara"/>
      <sheetName val="Titik_kabel"/>
      <sheetName val="Tata_Suara_(2)"/>
      <sheetName val="Tata_Suara_(3)"/>
      <sheetName val="Tata_Suara_(4)"/>
      <sheetName val="Ahs_2"/>
      <sheetName val="Ahs_1"/>
      <sheetName val="HRG-_UPAH"/>
      <sheetName val="RPP01 6"/>
      <sheetName val="RPP01 3"/>
      <sheetName val="Rekap 1"/>
      <sheetName val="#REF!"/>
      <sheetName val="tng bhn lstrk"/>
      <sheetName val="vol baja"/>
      <sheetName val="ana kusen"/>
      <sheetName val="vol struk"/>
      <sheetName val="I-KAMAR"/>
      <sheetName val="_bhn_uph"/>
      <sheetName val="iTEM hARSAT"/>
      <sheetName val="bahan, upah,alat"/>
      <sheetName val="DATA"/>
      <sheetName val="Upah_Baha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Volume"/>
      <sheetName val="Bangunan Utama"/>
      <sheetName val="Kolam Renang"/>
      <sheetName val="rekap"/>
      <sheetName val="Harga Satuan"/>
      <sheetName val="Bangunan Pengurangan"/>
      <sheetName val="ANALISA"/>
      <sheetName val="Sheet2"/>
      <sheetName val="Sheet3"/>
      <sheetName val="BQ-E20-02(Rp)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_____"/>
      <sheetName val="Locas"/>
      <sheetName val="BOQ sph"/>
      <sheetName val="PEDOMAN"/>
      <sheetName val="SUM BOQ"/>
      <sheetName val="BOQ"/>
      <sheetName val="ANALISA"/>
      <sheetName val="DAFTAR HARGA"/>
      <sheetName val="SUMDA"/>
      <sheetName val="MOB-DEMOB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aterial"/>
      <sheetName val="daf-3(OK)"/>
      <sheetName val="daf-7(OK)"/>
      <sheetName val="Rincian"/>
      <sheetName val="BAG-III"/>
      <sheetName val="Fill this out first..."/>
      <sheetName val="Fill this out first___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externalLinks/externalLink2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ound1"/>
      <sheetName val="Cost_BD_Conc"/>
      <sheetName val="Cost_BD_Steel"/>
      <sheetName val="MTO_Steel"/>
      <sheetName val="SCH_GG &amp; SAS"/>
    </sheetNames>
    <sheetDataSet>
      <sheetData sheetId="0"/>
      <sheetData sheetId="1"/>
      <sheetData sheetId="2"/>
      <sheetData sheetId="3"/>
      <sheetData sheetId="4"/>
    </sheetDataSet>
  </externalBook>
</externalLink>
</file>

<file path=xl/externalLinks/externalLink2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BILL OF QU-ARS"/>
      <sheetName val="BILL OF QU-STR"/>
      <sheetName val="RAP-STR"/>
      <sheetName val="RAP-ARS"/>
      <sheetName val="Analisa"/>
      <sheetName val="Daftar Harga"/>
      <sheetName val="krifikasi gambar &amp; bq"/>
      <sheetName val="Daftar Upah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AC"/>
      <sheetName val="ELECTRIC"/>
      <sheetName val="TELEPON"/>
      <sheetName val="fire fighting"/>
      <sheetName val="PLUMBING"/>
      <sheetName val="bahan-naik"/>
      <sheetName val="Sheet1"/>
      <sheetName val="FH-konven (4)"/>
      <sheetName val="FH-konven (3)"/>
      <sheetName val="FH-konven (2)"/>
      <sheetName val="FH-konven"/>
      <sheetName val="anl-prelim"/>
      <sheetName val="RC-ANL"/>
      <sheetName val="subcon"/>
      <sheetName val="Cov"/>
      <sheetName val="Penjumlahan"/>
      <sheetName val="D-1"/>
      <sheetName val="cover 2.1"/>
      <sheetName val="BQ.2.1"/>
      <sheetName val="cover 2.2"/>
      <sheetName val="BQ.2.2"/>
      <sheetName val="Daft.2.3"/>
      <sheetName val="COV-3"/>
      <sheetName val="D3"/>
      <sheetName val="COV-4"/>
      <sheetName val="daf-4"/>
      <sheetName val="COV-5"/>
      <sheetName val="Daf.5"/>
      <sheetName val="COV-6"/>
      <sheetName val="D.6"/>
      <sheetName val="COV-7"/>
      <sheetName val="Daf. No.7"/>
      <sheetName val="COV-8"/>
      <sheetName val="Daf. no.8"/>
      <sheetName val="COV-9"/>
      <sheetName val="D.9"/>
      <sheetName val="COV-10"/>
      <sheetName val="D.10"/>
      <sheetName val="Penjumlahan (2)"/>
      <sheetName val="D.10 (2)"/>
      <sheetName val="BAG-2"/>
      <sheetName val="BAG_2"/>
      <sheetName val="AHS_Kusen"/>
      <sheetName val="dasboard"/>
      <sheetName val="harsat&amp;upah"/>
      <sheetName val="34"/>
      <sheetName val="35"/>
      <sheetName val="27"/>
      <sheetName val="46"/>
      <sheetName val="4"/>
      <sheetName val="33"/>
      <sheetName val="9"/>
      <sheetName val="8"/>
      <sheetName val="26"/>
      <sheetName val="42"/>
      <sheetName val="32"/>
      <sheetName val="31"/>
      <sheetName val="64.6"/>
      <sheetName val="37"/>
      <sheetName val="62"/>
      <sheetName val="7"/>
      <sheetName val="61"/>
      <sheetName val="24"/>
      <sheetName val="43"/>
      <sheetName val="53 "/>
      <sheetName val="54"/>
      <sheetName val="MH CIVIL"/>
      <sheetName val="30"/>
      <sheetName val="64.14"/>
      <sheetName val="64.1"/>
      <sheetName val="17"/>
      <sheetName val="51"/>
      <sheetName val="38"/>
      <sheetName val="52"/>
      <sheetName val="23"/>
      <sheetName val="22"/>
      <sheetName val="20"/>
      <sheetName val="49"/>
      <sheetName val="36.3"/>
      <sheetName val="36.4"/>
      <sheetName val="36.2"/>
      <sheetName val="36.1"/>
      <sheetName val="44"/>
      <sheetName val="45"/>
      <sheetName val="63"/>
      <sheetName val="TOTAL"/>
      <sheetName val="DAF_2"/>
      <sheetName val="DAF_3"/>
      <sheetName val="DAF_4"/>
      <sheetName val="I_KAMAR"/>
      <sheetName val="TE TS FA LAN MATV"/>
      <sheetName val="FINISHING"/>
      <sheetName val="L_TIGA"/>
      <sheetName val="L-TIGA"/>
      <sheetName val="Ch"/>
      <sheetName val="SAT-BHN"/>
      <sheetName val="DAFTAR 7"/>
      <sheetName val="DAFTAR_8"/>
      <sheetName val="HARGA ALAT"/>
      <sheetName val="REKAP A BESAR"/>
      <sheetName val="8LT 12"/>
      <sheetName val="ana_str"/>
      <sheetName val="LIST ANHARSAT"/>
      <sheetName val="HARSAT"/>
      <sheetName val="Rekap"/>
      <sheetName val="Hargamat"/>
      <sheetName val="Analisa"/>
      <sheetName val="2.E"/>
      <sheetName val="HSTANAH"/>
      <sheetName val="HSBETON"/>
      <sheetName val="fire_fighting"/>
      <sheetName val="FH-konven_(4)"/>
      <sheetName val="FH-konven_(3)"/>
      <sheetName val="FH-konven_(2)"/>
      <sheetName val="cover_2_1"/>
      <sheetName val="BQ_2_1"/>
      <sheetName val="cover_2_2"/>
      <sheetName val="BQ_2_2"/>
      <sheetName val="Daft_2_3"/>
      <sheetName val="Daf_5"/>
      <sheetName val="D_6"/>
      <sheetName val="Daf__No_7"/>
      <sheetName val="Daf__no_8"/>
      <sheetName val="D_9"/>
      <sheetName val="D_10"/>
      <sheetName val="Penjumlahan_(2)"/>
      <sheetName val="D_10_(2)"/>
      <sheetName val="Time Schedul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</sheetDataSet>
  </externalBook>
</externalLink>
</file>

<file path=xl/externalLinks/externalLink3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BILL OF QU-ARS"/>
      <sheetName val="BILL OF QU-STR"/>
      <sheetName val="RAP-STR"/>
      <sheetName val="RAP-ARS"/>
      <sheetName val="Analisa"/>
      <sheetName val="Daftar Harga"/>
      <sheetName val="krifikasi gambar &amp; bq"/>
      <sheetName val="Daftar Upa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3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ARGA"/>
      <sheetName val="quo depan"/>
      <sheetName val="PKK"/>
      <sheetName val="Analisa Harga Satuan"/>
      <sheetName val="upah"/>
      <sheetName val="S.BAHAN"/>
      <sheetName val="S.UPAH"/>
      <sheetName val="Rab"/>
      <sheetName val="D-3 (M)"/>
      <sheetName val="D-7 (M)"/>
      <sheetName val="bau"/>
      <sheetName val="GAJI"/>
      <sheetName val="REKAP"/>
      <sheetName val="Harsat Bahan"/>
      <sheetName val="Harsat Upah"/>
      <sheetName val="Daf 1"/>
      <sheetName val="Bahan"/>
      <sheetName val="Analisa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</sheetDataSet>
  </externalBook>
</externalLink>
</file>

<file path=xl/externalLinks/externalLink3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nalisa Harga"/>
      <sheetName val="Summary"/>
      <sheetName val="Pendahuluan"/>
      <sheetName val="Villa"/>
      <sheetName val="Outdoor"/>
      <sheetName val="Furniture"/>
      <sheetName val="pintu"/>
      <sheetName val="Cover"/>
      <sheetName val="Pintubaru"/>
      <sheetName val=" Bahan"/>
      <sheetName val="hs-str"/>
      <sheetName val="AS'97"/>
      <sheetName val="Bill-19"/>
      <sheetName val="sum-bill22"/>
      <sheetName val="daf-3(OK)"/>
      <sheetName val="An Arsitektur"/>
      <sheetName val="daf_3_OK_"/>
      <sheetName val="daf-7(OK)"/>
      <sheetName val="An Struktur"/>
      <sheetName val="DAF-1"/>
      <sheetName val="DAF_1"/>
      <sheetName val="PPC"/>
      <sheetName val="BAG-2"/>
      <sheetName val="Manpower"/>
      <sheetName val="Equipt,Tools&amp;Cons"/>
      <sheetName val="2_1"/>
      <sheetName val="2_2"/>
      <sheetName val="Harga Material"/>
      <sheetName val="H.Satuan"/>
      <sheetName val="2.1"/>
      <sheetName val="2.2"/>
      <sheetName val="DATA"/>
      <sheetName val="Harsat Bahan"/>
      <sheetName val="Harsat Upah"/>
      <sheetName val="HB"/>
      <sheetName val="upah"/>
      <sheetName val="Analisa STR"/>
      <sheetName val="ANALISA"/>
      <sheetName val="HRG BHN"/>
      <sheetName val="Kabel"/>
      <sheetName val="Drain"/>
      <sheetName val="Pipa"/>
      <sheetName val="Refri"/>
      <sheetName val="Valve"/>
      <sheetName val="Daf 1"/>
      <sheetName val="Daftar Harga"/>
      <sheetName val="Bank"/>
      <sheetName val="Hargamat"/>
      <sheetName val="BAHAN"/>
      <sheetName val="HS"/>
      <sheetName val="9-1차이내역"/>
      <sheetName val="PMK"/>
      <sheetName val="AC"/>
      <sheetName val="Plumbing"/>
      <sheetName val="RAB (Use Erection Zamil)-Alt 2"/>
      <sheetName val="EK-JAN-07"/>
      <sheetName val="Panel,feeder,elek"/>
      <sheetName val="SELL-SUMM-COST"/>
      <sheetName val="FORM X COST"/>
      <sheetName val="HARGA"/>
      <sheetName val="STRUKTUR-1"/>
      <sheetName val="PAD-F"/>
      <sheetName val="DAF-5"/>
      <sheetName val="Sheet1"/>
      <sheetName val="Analisa &amp; Upah"/>
      <sheetName val="BQ"/>
      <sheetName val="ana_str"/>
      <sheetName val="Harsat"/>
      <sheetName val="REKAP_ARSITEKTUR."/>
      <sheetName val="BAG-III"/>
      <sheetName val="Ahs.1"/>
      <sheetName val="Ahs.2"/>
      <sheetName val="Penjumlahan"/>
      <sheetName val="D4.3 (TE)"/>
      <sheetName val="D5.3 (TF) "/>
      <sheetName val="D8.3 (TJ)"/>
      <sheetName val="Input"/>
      <sheetName val="MP &amp; FC"/>
      <sheetName val="Welded beam"/>
      <sheetName val="Data Base"/>
      <sheetName val="CEW"/>
      <sheetName val="ES&amp;MB"/>
      <sheetName val="DAF-BAHAN"/>
      <sheetName val="DAF-UPAH"/>
      <sheetName val="Bill rekap"/>
      <sheetName val="Bill of Qty"/>
      <sheetName val="BQ-E20-02(Rp)"/>
      <sheetName val="ListEL"/>
      <sheetName val="SAP"/>
      <sheetName val="HARGA SATUAN"/>
      <sheetName val="Analisa Gabungan"/>
      <sheetName val="Sub"/>
      <sheetName val="4-MVAC"/>
      <sheetName val="chitimc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Analisa_Harga"/>
      <sheetName val="_Bahan"/>
      <sheetName val="An_Arsitektur"/>
      <sheetName val="An_Struktur"/>
      <sheetName val="AHSbj"/>
      <sheetName val="Harga Bahan &amp; Upah "/>
      <sheetName val="BAG_2"/>
      <sheetName val="Alat"/>
      <sheetName val="Management"/>
      <sheetName val="isian"/>
      <sheetName val="BQ_E20_02_Rp_"/>
      <sheetName val="Traf&amp;Genst"/>
      <sheetName val="DAF-2"/>
      <sheetName val="DAF_2"/>
      <sheetName val="Pek. Tanah"/>
      <sheetName val="Pek. Pondasi"/>
      <sheetName val="Pek. Dinding"/>
      <sheetName val="Pek. Plesteran"/>
      <sheetName val="Pek. Kayu"/>
      <sheetName val="Pek. Beton"/>
      <sheetName val="Pek. Penutup Atap"/>
      <sheetName val="Pek. Langit-langit"/>
      <sheetName val="Pek. Sanitasi"/>
      <sheetName val="Pek. Besi &amp; Alumunium"/>
      <sheetName val="Pek. Kunci &amp; Kaca"/>
      <sheetName val="Pek. Penutup Lantai &amp; dinding"/>
      <sheetName val="Pek. Pengecatan"/>
      <sheetName val="378TWV1"/>
      <sheetName val="SORT"/>
      <sheetName val="Daftar Upah"/>
      <sheetName val="RAB _Use Erection Zamil__Alt 2"/>
      <sheetName val="CH"/>
      <sheetName val="Sum"/>
      <sheetName val="rab - persiapan &amp; lantai-1"/>
      <sheetName val="TU"/>
      <sheetName val="DAF-3"/>
      <sheetName val="DAF-4"/>
      <sheetName val="STR"/>
      <sheetName val="BELAGIO"/>
      <sheetName val="ARTAGDING"/>
      <sheetName val="MANHATTAN"/>
      <sheetName val="SEMANAN"/>
      <sheetName val="BKPM"/>
      <sheetName val=" Rate str "/>
      <sheetName val="Bill of Quantities"/>
      <sheetName val="II.FACTORY-1"/>
      <sheetName val="B.T"/>
      <sheetName val="anal alat"/>
      <sheetName val="hs_str"/>
      <sheetName val="HSATUA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</sheetDataSet>
  </externalBook>
</externalLink>
</file>

<file path=xl/externalLinks/externalLink3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NCRETE"/>
      <sheetName val="CHECK-PL"/>
      <sheetName val="Data"/>
      <sheetName val="Bar Bending"/>
      <sheetName val="Manpower"/>
      <sheetName val="Equipt,Tools&amp;Cons"/>
      <sheetName val="DAF-5"/>
      <sheetName val="Sheet1"/>
      <sheetName val="Analisa Harga"/>
      <sheetName val="Summary"/>
      <sheetName val="Analisa"/>
      <sheetName val="FLAF&amp;PARTSI"/>
      <sheetName val="H.Satuan"/>
      <sheetName val="Anl"/>
      <sheetName val="2_1"/>
      <sheetName val="2_2"/>
      <sheetName val="Kode"/>
      <sheetName val="IPL_SCHEDULE"/>
      <sheetName val="CBD"/>
      <sheetName val="List of employees"/>
      <sheetName val="2.1"/>
      <sheetName val="2.2"/>
      <sheetName val="378TWV1"/>
      <sheetName val="PMK"/>
      <sheetName val="hs_str"/>
      <sheetName val="Analisa STR"/>
      <sheetName val="HARGA"/>
      <sheetName val="Det Str BT"/>
      <sheetName val="Als Struk"/>
      <sheetName val="BAG_III"/>
      <sheetName val="9-1차이내역"/>
      <sheetName val="Daf 1"/>
      <sheetName val="REKAP"/>
      <sheetName val="Harga Satuan"/>
      <sheetName val="Analisa Harga Satuan"/>
      <sheetName val="FORM X COST"/>
      <sheetName val="Quantity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</sheetDataSet>
  </externalBook>
</externalLink>
</file>

<file path=xl/externalLinks/externalLink3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P"/>
      <sheetName val="TB"/>
      <sheetName val="BK"/>
      <sheetName val="KLM"/>
      <sheetName val="BLK"/>
      <sheetName val="PLAT"/>
      <sheetName val="BAJA"/>
      <sheetName val="LT"/>
      <sheetName val="WALL"/>
      <sheetName val="PLFND"/>
      <sheetName val="UPAH"/>
      <sheetName val="MATERIAL"/>
      <sheetName val="ANALISA"/>
      <sheetName val="VOLUM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externalLinks/externalLink3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HAN"/>
      <sheetName val="XXXXX"/>
      <sheetName val="FAKTOR"/>
      <sheetName val="BHN-P"/>
      <sheetName val="BAHAN BARU"/>
      <sheetName val="ANALISA BARU"/>
      <sheetName val="rekap-A"/>
      <sheetName val="UNIT - I"/>
      <sheetName val="rekap-1"/>
      <sheetName val="UNIT - II"/>
      <sheetName val="rekap-2"/>
      <sheetName val="Unit-3"/>
      <sheetName val="rekap-3"/>
      <sheetName val="unit-1"/>
      <sheetName val="unit-2"/>
      <sheetName val="Unit-4"/>
      <sheetName val="an wire "/>
      <sheetName val="Rab"/>
      <sheetName val="prelim"/>
      <sheetName val="an. struktur"/>
      <sheetName val="harsat"/>
      <sheetName val="Dashboard"/>
      <sheetName val="satuan_pek"/>
      <sheetName val="H.Satuan"/>
      <sheetName val="I-KAMA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3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lk A"/>
      <sheetName val="Blk B"/>
      <sheetName val="Blk C"/>
      <sheetName val="Blk D"/>
      <sheetName val="Blk E"/>
      <sheetName val="Blk F"/>
      <sheetName val="Blk G"/>
      <sheetName val="Blk H"/>
      <sheetName val="Blk I"/>
      <sheetName val="Blk J"/>
      <sheetName val="Blk K"/>
      <sheetName val="Blk L"/>
      <sheetName val="an. struktur"/>
      <sheetName val="harsat"/>
      <sheetName val="Dashboard"/>
      <sheetName val="AHAS PANEL"/>
      <sheetName val="AHAS1"/>
      <sheetName val="Bahan"/>
      <sheetName val="Analisa -Baku"/>
      <sheetName val="CAPITOL MEKANIKAL"/>
      <sheetName val="NAMES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3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hn"/>
      <sheetName val="00000"/>
      <sheetName val="DafProyek"/>
      <sheetName val="AHS"/>
      <sheetName val="Bul"/>
      <sheetName val="Bul (2)"/>
      <sheetName val="Alt"/>
      <sheetName val="Alt (2)"/>
      <sheetName val="DafAlt"/>
      <sheetName val="Sheet2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3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REKAP UTAMA"/>
      <sheetName val="PERSIAPAN"/>
      <sheetName val="STRUKTUR"/>
      <sheetName val="FINISHING"/>
      <sheetName val="HALAMAN"/>
      <sheetName val="ELEKTRIKAL"/>
      <sheetName val="MEKANIKAL"/>
      <sheetName val="ANALISA ME"/>
      <sheetName val="ANALISA PERSIAPAN"/>
      <sheetName val="HG Bahan"/>
      <sheetName val="An Beton"/>
      <sheetName val="AN HG DKI"/>
      <sheetName val="anpartisi (REV)"/>
      <sheetName val="ankosen"/>
      <sheetName val="HNS2"/>
      <sheetName val="ars_fin"/>
      <sheetName val="HNS"/>
      <sheetName val="harga dasar"/>
      <sheetName val="ahs struktur"/>
      <sheetName val="HARGA ALAT"/>
      <sheetName val="HRG BHN"/>
      <sheetName val="BQ-E20-02(Rp)"/>
      <sheetName val="4"/>
      <sheetName val="iTEM hARSAT"/>
      <sheetName val="mat&amp;upah"/>
      <sheetName val="rekap"/>
      <sheetName val="a-hardsc"/>
      <sheetName val="S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</sheetDataSet>
  </externalBook>
</externalLink>
</file>

<file path=xl/externalLinks/externalLink3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"/>
      <sheetName val="CAT-HRG "/>
      <sheetName val="TOTAL"/>
      <sheetName val="DAF-1"/>
      <sheetName val="DAF-2"/>
      <sheetName val="DAF-3"/>
      <sheetName val="DAF- 4"/>
      <sheetName val="DAF-5"/>
      <sheetName val="DAF-6"/>
      <sheetName val="DAF-7"/>
      <sheetName val="DAF-8"/>
      <sheetName val="DAF-9"/>
      <sheetName val="DAF-10"/>
      <sheetName val="DAF-11"/>
      <sheetName val="DAFT-12"/>
      <sheetName val="DAF_2"/>
      <sheetName val="CATATAN-HARGA"/>
      <sheetName val="DAF-NO.1"/>
      <sheetName val="DAF-NO.2"/>
      <sheetName val="DAF NO.3"/>
      <sheetName val="DAF-NO.4"/>
      <sheetName val="komponen"/>
      <sheetName val="Isolasi Luar Dalam"/>
      <sheetName val="Isolasi Luar"/>
      <sheetName val="analisa Str"/>
      <sheetName val="Analisa"/>
      <sheetName val="dasboard"/>
      <sheetName val="upah"/>
      <sheetName val="Data"/>
      <sheetName val="ana drainase"/>
      <sheetName val="Bhn"/>
      <sheetName val="RAB"/>
      <sheetName val="PT."/>
      <sheetName val="Input"/>
      <sheetName val="FINISHING"/>
      <sheetName val="Sheet5"/>
      <sheetName val="harsat"/>
      <sheetName val="Sat Bah &amp; Up"/>
      <sheetName val="NAMES"/>
      <sheetName val="Bill No.13.1"/>
      <sheetName val="CAT-HRG_"/>
      <sheetName val="DAF-_4"/>
      <sheetName val="DAF-NO_1"/>
      <sheetName val="DAF-NO_2"/>
      <sheetName val="DAF_NO_3"/>
      <sheetName val="DAF-NO_4"/>
      <sheetName val="Isolasi_Luar_Dalam"/>
      <sheetName val="Isolasi_Luar"/>
      <sheetName val="analisa_Str"/>
      <sheetName val="hg sat 2"/>
      <sheetName val="hg sat BM"/>
      <sheetName val="I-KAMAR"/>
      <sheetName val="Anls"/>
      <sheetName val="BASEMENT"/>
      <sheetName val="Mon Upah+Alat+Material"/>
      <sheetName val="Sat. Pek."/>
      <sheetName val="2_2"/>
      <sheetName val="CF"/>
      <sheetName val="AHS ASLI"/>
      <sheetName val="Analisa &amp; Upah"/>
      <sheetName val="Bahan"/>
      <sheetName val="REF.ONLY"/>
      <sheetName val="MATERIAL"/>
      <sheetName val="DAFTAR (2)"/>
      <sheetName val="PT_"/>
      <sheetName val="ana_drainase"/>
      <sheetName val="Sat_Bah_&amp;_Up"/>
      <sheetName val="Bill_No_13_1"/>
      <sheetName val="H.Satuan"/>
      <sheetName val="2.2"/>
      <sheetName val="BU"/>
      <sheetName val="Daf 1"/>
      <sheetName val="Analisa Harga"/>
      <sheetName val="Summary"/>
      <sheetName val="BQ mep"/>
      <sheetName val="DAF_1"/>
      <sheetName val="Bahan _ Upah"/>
      <sheetName val="4-MVAC"/>
      <sheetName val="daf_3_OK_"/>
      <sheetName val="daf_7_OK_"/>
      <sheetName val="DAF_3"/>
      <sheetName val="DAF_4"/>
      <sheetName val="ANALISA ALAT BERAT"/>
      <sheetName val="FAKTOR"/>
      <sheetName val="Cover"/>
      <sheetName val="Pt"/>
      <sheetName val="STR"/>
      <sheetName val="an. struktur"/>
      <sheetName val="Dashboard"/>
      <sheetName val="BAG-2"/>
      <sheetName val="I_KAMAR"/>
      <sheetName val="Code"/>
      <sheetName val="STRUKTUR"/>
      <sheetName val="ARSITEKTUR"/>
      <sheetName val="TAMKUR "/>
      <sheetName val="DHS"/>
      <sheetName val="Anal"/>
      <sheetName val="PileClm"/>
      <sheetName val="Sat Bahan"/>
      <sheetName val="Sat Alat"/>
      <sheetName val="Sat Upah"/>
      <sheetName val="2(SI-23mrt-PIT)"/>
      <sheetName val="DAF)6"/>
      <sheetName val="DAF-NO._x0012_"/>
      <sheetName val="Bill rekap"/>
      <sheetName val="Bill of Qty"/>
      <sheetName val="Blk A"/>
      <sheetName val="BAG_2"/>
      <sheetName val="AHAS PANEL"/>
      <sheetName val="An Arsitektur"/>
      <sheetName val="An Struktur"/>
      <sheetName val="BOQ"/>
      <sheetName val="Unit Rate"/>
      <sheetName val="Analisa ME "/>
      <sheetName val="an_ struktur"/>
      <sheetName val="rumus"/>
      <sheetName val="RAP"/>
      <sheetName val="ES_aLL"/>
      <sheetName val="#REF!"/>
      <sheetName val="FORM X COST"/>
      <sheetName val="Sheet1"/>
      <sheetName val="CC"/>
      <sheetName val="BSC ENG"/>
      <sheetName val="LOG"/>
      <sheetName val="OPR"/>
      <sheetName val="QC"/>
      <sheetName val="SM"/>
      <sheetName val="SO"/>
      <sheetName val="Ahs.2"/>
      <sheetName val="Ahs.1"/>
      <sheetName val="PRICE-COMP"/>
      <sheetName val="4"/>
      <sheetName val="NP"/>
      <sheetName val="BQ-Str"/>
      <sheetName val="Sub"/>
      <sheetName val="ANALISA MARET 09"/>
      <sheetName val="daf-3(OK)"/>
      <sheetName val="daf-7(OK)"/>
      <sheetName val="DAF-4"/>
      <sheetName val="Elektrikal"/>
      <sheetName val="black_out"/>
      <sheetName val="Unit-P"/>
      <sheetName val="BQ-Tenis"/>
      <sheetName val="BOQ_Aula"/>
      <sheetName val="Ana"/>
      <sheetName val="BQ"/>
      <sheetName val="hsp-STR-ARS"/>
      <sheetName val="CAT-HRG_1"/>
      <sheetName val="DAF-_41"/>
      <sheetName val="DAF-NO_11"/>
      <sheetName val="DAF-NO_21"/>
      <sheetName val="DAF_NO_31"/>
      <sheetName val="DAF-NO_41"/>
      <sheetName val="Isolasi_Luar_Dalam1"/>
      <sheetName val="Isolasi_Luar1"/>
      <sheetName val="analisa_Str1"/>
      <sheetName val="Mon_Upah+Alat+Material"/>
      <sheetName val="Sat__Pek_"/>
      <sheetName val="REF_ONLY"/>
      <sheetName val="Analisa_&amp;_Upah"/>
      <sheetName val="AHS_ASLI"/>
      <sheetName val="an mek"/>
      <sheetName val="B.T"/>
      <sheetName val="lap-bulan"/>
      <sheetName val="Lap-Minggu"/>
      <sheetName val="Harsat Bahan"/>
      <sheetName val="Harsat Upah"/>
      <sheetName val="Batasan"/>
      <sheetName val="SAP"/>
      <sheetName val="Sheet3"/>
      <sheetName val="Analisa _ Upah"/>
      <sheetName val="BIAYA UMUM"/>
      <sheetName val="SDM"/>
      <sheetName val="PAD-F"/>
      <sheetName val="HRG BHN"/>
      <sheetName val="PileCap"/>
      <sheetName val="Har-mat"/>
      <sheetName val="By"/>
      <sheetName val="Gaji"/>
      <sheetName val="Har_mat"/>
      <sheetName val="TOT_RAP"/>
      <sheetName val="XL4Poppy"/>
      <sheetName val="UPL"/>
      <sheetName val="Listrik"/>
      <sheetName val="analisa SNI"/>
      <sheetName val="HARGA ALAT"/>
      <sheetName val="BASE-PL1(H-shape)(OLD)"/>
      <sheetName val="ana-str"/>
      <sheetName val="Brd Unit Rate"/>
      <sheetName val="Basic Price"/>
      <sheetName val="pricing"/>
      <sheetName val="Als Struk"/>
      <sheetName val="2"/>
      <sheetName val="Ana-ALAT"/>
      <sheetName val="Daftar Harga"/>
      <sheetName val="Daftar Upah"/>
      <sheetName val="BQ-IABK"/>
      <sheetName val="An_hrg"/>
      <sheetName val="Harga Satuan"/>
      <sheetName val="trial balance"/>
      <sheetName val="BQ29"/>
      <sheetName val="SD"/>
      <sheetName val="AHS"/>
      <sheetName val="Harga ME "/>
      <sheetName val="DAF-NO._x005f_x0012_"/>
      <sheetName val="DAF-NO._x005f_x005f_x005f_x0012_"/>
      <sheetName val="DAF-NO._x005f_x005f_x005f_x005f_x005f_x005f_x0012"/>
      <sheetName val="Traf&amp;Genst"/>
      <sheetName val="CH"/>
      <sheetName val="REKAP"/>
      <sheetName val="Sheet8"/>
      <sheetName val="STRUKTUR-1"/>
      <sheetName val="bhn-upah"/>
      <sheetName val="AHSbj"/>
      <sheetName val="NM"/>
      <sheetName val="BASIC"/>
      <sheetName val="Bahan Upah"/>
      <sheetName val="Rekapitulasi"/>
      <sheetName val="Cap DUL"/>
      <sheetName val="dt-bum"/>
      <sheetName val="notasi"/>
      <sheetName val="RAPA"/>
      <sheetName val="dt-sub"/>
      <sheetName val="REKAP_Akap"/>
      <sheetName val="bobot"/>
      <sheetName val="320000 CABANG VI"/>
      <sheetName val="upah bahan"/>
      <sheetName val="Costing Tata suara"/>
      <sheetName val="villa"/>
      <sheetName val="ref"/>
      <sheetName val="Sum"/>
      <sheetName val="ESCON"/>
      <sheetName val="BQ-E20-02(Rp)"/>
      <sheetName val="Breakdown"/>
      <sheetName val="Rate"/>
      <sheetName val="LEGEND"/>
      <sheetName val="Mat"/>
      <sheetName val="01A- RAB"/>
      <sheetName val="H Satuan Dasar"/>
      <sheetName val="alat CETAK"/>
      <sheetName val="IDC tahap II"/>
      <sheetName val="Bahan(WK)"/>
      <sheetName val="MK"/>
      <sheetName val="HB"/>
      <sheetName val="H.SAT"/>
      <sheetName val="Analisa Gabungan"/>
      <sheetName val="Price"/>
      <sheetName val="A_2"/>
      <sheetName val="Level"/>
      <sheetName val="BQ-Jawa"/>
      <sheetName val="Bahan &amp; Upah"/>
      <sheetName val="Tabel"/>
      <sheetName val="TRANS"/>
      <sheetName val="Alat "/>
      <sheetName val="mVAC"/>
      <sheetName val="satuan_pek"/>
      <sheetName val="Bill 5 Summary"/>
      <sheetName val="Harga Bahan"/>
      <sheetName val="R A B"/>
      <sheetName val="ANALISA GRS TENGAH"/>
      <sheetName val="LAB me"/>
      <sheetName val="SUBKON"/>
      <sheetName val="RAB (A) (2)"/>
      <sheetName val="BUDGET"/>
      <sheetName val="DBAR"/>
      <sheetName val="data grafik"/>
      <sheetName val="Harga"/>
      <sheetName val="ALAT_MKNK"/>
      <sheetName val="OH Transportasi"/>
      <sheetName val="OH Insentif"/>
      <sheetName val="DETAIL"/>
      <sheetName val="BOW"/>
      <sheetName val="CASF LOW f"/>
      <sheetName val="gvl"/>
      <sheetName val="Bulanan"/>
      <sheetName val="Contract-Data"/>
      <sheetName val="BAG_III"/>
      <sheetName val="daf isi (xref)"/>
      <sheetName val="satuan_pek_str"/>
      <sheetName val="H-Bahan &amp; Tenaga"/>
      <sheetName val="HM.MEK."/>
      <sheetName val="Factor"/>
      <sheetName val="Bangunan Utama"/>
      <sheetName val="BULAN"/>
      <sheetName val="PO"/>
      <sheetName val="Rinci PO"/>
      <sheetName val="list_material"/>
      <sheetName val="BESI"/>
      <sheetName val="Kas Bon"/>
      <sheetName val="ISIAN"/>
      <sheetName val="DONGIA"/>
      <sheetName val="CashFlow"/>
      <sheetName val="MAPDC"/>
      <sheetName val="ANalat"/>
      <sheetName val="ES-aLL"/>
      <sheetName val="MasterSheet"/>
      <sheetName val="REKAP UTAMA"/>
      <sheetName val="VLOOK"/>
      <sheetName val="M+MC"/>
      <sheetName val="Unit Rate (2)"/>
      <sheetName val="ana_drainase1"/>
      <sheetName val="PT_1"/>
      <sheetName val="Sat_Bah_&amp;_Up1"/>
      <sheetName val="Bill_No_13_11"/>
      <sheetName val="DAFTAR_(2)"/>
      <sheetName val="Bahan___Upah"/>
      <sheetName val="Analisa_Harga"/>
      <sheetName val="ANALISA_ALAT_BERAT"/>
      <sheetName val="hg_sat_2"/>
      <sheetName val="hg_sat_BM"/>
      <sheetName val="BQ_mep"/>
      <sheetName val="H_Satuan"/>
      <sheetName val="2_21"/>
      <sheetName val="an__struktur"/>
      <sheetName val="Sheet"/>
      <sheetName val="HB "/>
      <sheetName val="rab - persiapan &amp; lantai-1"/>
      <sheetName val="Rincian"/>
      <sheetName val="01A_ RAB"/>
      <sheetName val="RumusTB 1 bln"/>
      <sheetName val="RPP 12 SEPT"/>
      <sheetName val="Harga Bahan &amp; Upah "/>
      <sheetName val="HSBU ANA"/>
      <sheetName val="Prelim"/>
      <sheetName val="CAPITOL MEKANIKAL"/>
      <sheetName val="MU"/>
      <sheetName val="tng bhn lstrk"/>
      <sheetName val="vol baja"/>
      <sheetName val="ana kusen"/>
      <sheetName val="vol struk"/>
      <sheetName val="#REF"/>
      <sheetName val="ASAT"/>
      <sheetName val="D-ANS"/>
      <sheetName val="BIAYA SISA PEK.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m"/>
      <sheetName val="Du_lieu"/>
      <sheetName val="KH-Q1,Q2,01"/>
      <sheetName val="TONGKE3p "/>
      <sheetName val="TDTKP"/>
      <sheetName val="DON GIA"/>
      <sheetName val="TONG HOP VL-NC"/>
      <sheetName val="TNHCHINH"/>
      <sheetName val="CHITIET VL-NC-TT -1p"/>
      <sheetName val="TDTKP1"/>
      <sheetName val="phuluc1"/>
      <sheetName val="TONG HOP VL-NC TT"/>
      <sheetName val="KPVC-BD "/>
      <sheetName val="#REF"/>
      <sheetName val="gvl"/>
      <sheetName val="Tiepdia"/>
      <sheetName val="CHITIET VL-NC-TT-3p"/>
      <sheetName val="VCV-BE-TONG"/>
      <sheetName val="chitiet"/>
      <sheetName val="VC"/>
      <sheetName val="CHITIET VL-NC"/>
      <sheetName val="THPDMoi  (2)"/>
      <sheetName val="t-h HA THE"/>
      <sheetName val="giathanh1"/>
      <sheetName val="TONGKE-HT"/>
      <sheetName val="LKVL-CK-HT-GD1"/>
      <sheetName val="TH VL, NC, DDHT Thanhphuoc"/>
      <sheetName val="dongia (2)"/>
      <sheetName val="DG"/>
      <sheetName val="DONGIA"/>
      <sheetName val="chitimc"/>
      <sheetName val="dtxl"/>
      <sheetName val="gtrinh"/>
      <sheetName val="lam-moi"/>
      <sheetName val="TH XL"/>
      <sheetName val="thao-go"/>
      <sheetName val="BAOGIATHANG"/>
      <sheetName val="vanchuyen TC"/>
      <sheetName val="DAODAT"/>
      <sheetName val="dongiaX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</sheetDataSet>
  </externalBook>
</externalLink>
</file>

<file path=xl/externalLinks/externalLink4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ll this out first..."/>
      <sheetName val="Cover"/>
      <sheetName val="Contents"/>
      <sheetName val="Basis"/>
      <sheetName val="Description"/>
      <sheetName val="Areas"/>
      <sheetName val="Exclusions"/>
      <sheetName val="Overall Summary"/>
      <sheetName val="Substructure Summary"/>
      <sheetName val="Substructure Estimate"/>
      <sheetName val="Basement Summary"/>
      <sheetName val="Basement Estimate"/>
      <sheetName val="Podium Summary"/>
      <sheetName val="Podium Estimate"/>
      <sheetName val="Tower A Summary"/>
      <sheetName val="Tower A Estimate"/>
      <sheetName val="Tower B Summary"/>
      <sheetName val="Tower B Estimate"/>
      <sheetName val="Siteworks Summary"/>
      <sheetName val="Siteworks Estimate"/>
      <sheetName val="Fill this out first___"/>
      <sheetName val="Rekap"/>
      <sheetName val="ADDENDUM"/>
      <sheetName val="Analisa -Baku"/>
      <sheetName val="BQNSC"/>
      <sheetName val="I-KAMAR"/>
      <sheetName val="Harsat_marina"/>
      <sheetName val="BAG-III"/>
      <sheetName val="JAN2002"/>
      <sheetName val="Elektrikal"/>
      <sheetName val="Analisa _Baku"/>
      <sheetName val="Rekap Direct Cos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externalLinks/externalLink4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nalisa"/>
      <sheetName val="Harga MAt"/>
      <sheetName val="Foundation"/>
      <sheetName val="SITE-E"/>
      <sheetName val="Fill this out first___"/>
      <sheetName val="SAP"/>
      <sheetName val="Fill this out first..."/>
      <sheetName val="DAFTAR HARGA"/>
      <sheetName val="ALEK"/>
      <sheetName val="H.Satuan"/>
      <sheetName val="DAF-2"/>
      <sheetName val="Bangunan Utama"/>
      <sheetName val="BAG-III"/>
      <sheetName val="BAHAN"/>
      <sheetName val="Elektrikal"/>
      <sheetName val="Anls"/>
      <sheetName val="REF.ONLY"/>
      <sheetName val="Analisa ME"/>
      <sheetName val="TONG HOP VL-NC"/>
      <sheetName val="#REF"/>
      <sheetName val="chitiet"/>
      <sheetName val="DONGIA"/>
      <sheetName val="DON GIA"/>
      <sheetName val="DG"/>
      <sheetName val="TONGKE3p "/>
      <sheetName val="VCV-BE-TONG"/>
      <sheetName val="CHITIET VL-NC"/>
      <sheetName val="HRG BHN"/>
      <sheetName val="Currency Rate"/>
      <sheetName val="HB"/>
      <sheetName val="Harga_MAt"/>
      <sheetName val="Harsat"/>
      <sheetName val="TE TS FA LAN MATV"/>
      <sheetName val="Analisa Baku ME"/>
      <sheetName val="Rekap Direct Cost"/>
      <sheetName val="CONSUMABLE"/>
      <sheetName val="Fill_this_out_first___"/>
      <sheetName val="harsat_str"/>
      <sheetName val="Koef"/>
      <sheetName val="ANALISA PEK.UMUM"/>
      <sheetName val="Harga Satuan"/>
      <sheetName val="anal"/>
      <sheetName val="Material"/>
      <sheetName val="UP PL"/>
      <sheetName val="Analisa Bupati"/>
      <sheetName val="FINISHING"/>
      <sheetName val="BQ"/>
      <sheetName val="Scd_RAB"/>
      <sheetName val="Penwrn"/>
      <sheetName val="Schedule"/>
      <sheetName val="Upah_Bahan"/>
      <sheetName val="ARSITEKTUR"/>
      <sheetName val="STRUKTUR"/>
      <sheetName val="Code 02"/>
      <sheetName val="Code 03"/>
      <sheetName val="Code 04"/>
      <sheetName val="Code 05"/>
      <sheetName val="Code 06"/>
      <sheetName val="Code 07"/>
      <sheetName val="Code 09"/>
      <sheetName val="PLUMBING"/>
      <sheetName val="DAF_2"/>
      <sheetName val="Hrg.Sat"/>
      <sheetName val="Cover"/>
      <sheetName val="Kontrak awal"/>
      <sheetName val="Check List LBP"/>
      <sheetName val="3.g. Ikht.Biaya"/>
      <sheetName val="BAG_III"/>
      <sheetName val="TNHCHINH"/>
      <sheetName val="TDTKP"/>
      <sheetName val="Analisa -Baku"/>
      <sheetName val="BQNSC"/>
      <sheetName val="ES-aLL"/>
      <sheetName val="DAFTAR HARGA SATUAN MATERIAL"/>
      <sheetName val="Bill rekap"/>
      <sheetName val="Mtd_Pelak"/>
      <sheetName val="TOWN"/>
      <sheetName val="CashFlow"/>
      <sheetName val="Bill sipil"/>
      <sheetName val="BQ-Str"/>
      <sheetName val="valve"/>
      <sheetName val="ppr12"/>
      <sheetName val="Summary_BQ"/>
      <sheetName val=" R A B"/>
      <sheetName val="Bhn"/>
      <sheetName val="UPAH-BAHAN."/>
      <sheetName val="ES_aLL"/>
      <sheetName val="Rekap dpb 11"/>
      <sheetName val="LB 01"/>
      <sheetName val="an. struktur"/>
      <sheetName val="Dashboard"/>
      <sheetName val="CATU DAYA LISTRIK PLB"/>
      <sheetName val="PERALATAN UTAMA PK"/>
      <sheetName val="CATU DAYA LISTRIK PK"/>
      <sheetName val="PERALATAN &amp; KATUP2 PK"/>
      <sheetName val="PERALATAN UTAMA PLB"/>
      <sheetName val="PERALATAN &amp; KATUP2 PLB"/>
      <sheetName val="PEMIPAAN PK"/>
      <sheetName val="PEMIPAAN PLB"/>
      <sheetName val="div"/>
      <sheetName val="BOQ"/>
      <sheetName val="Bunga"/>
      <sheetName val="Coord"/>
      <sheetName val="Isolasi Luar Dalam"/>
      <sheetName val="Isolasi Luar"/>
      <sheetName val="price"/>
      <sheetName val="OFFICE 2 LT"/>
      <sheetName val="ch"/>
      <sheetName val="CERT"/>
      <sheetName val="Smry Wk (P I)"/>
      <sheetName val="lap-bulan"/>
      <sheetName val="Lap-Minggu"/>
      <sheetName val="rab"/>
      <sheetName val="Material&amp;Alat"/>
      <sheetName val="DB"/>
      <sheetName val="Unit Rate"/>
      <sheetName val="BQ ME"/>
      <sheetName val="BQ-ME"/>
      <sheetName val="A_2"/>
      <sheetName val="div7"/>
      <sheetName val="LABTOTAL"/>
      <sheetName val="hbaup"/>
      <sheetName val="Rekap"/>
      <sheetName val="TH VL, NC, DDHT Thanhphuoc"/>
      <sheetName val="Tiepdia"/>
      <sheetName val="Sheet1"/>
      <sheetName val="Rekapitulasi"/>
      <sheetName val="MTO REV.0"/>
      <sheetName val="SECURITY"/>
      <sheetName val="Telephone"/>
      <sheetName val="S System"/>
      <sheetName val="COA-17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</sheetDataSet>
  </externalBook>
</externalLink>
</file>

<file path=xl/externalLinks/externalLink4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INDEX"/>
      <sheetName val="PILING"/>
      <sheetName val="SUBSTRUCTURE"/>
      <sheetName val="SUPERSTRUCTURE"/>
      <sheetName val="M&amp;E"/>
      <sheetName val="INFRA"/>
      <sheetName val="EARTHWORKS"/>
      <sheetName val="DRAINAGE"/>
      <sheetName val="SEWERAGE"/>
      <sheetName val="WATER SUPPLY"/>
      <sheetName val="ROAD"/>
      <sheetName val="PAVEMENT"/>
      <sheetName val="TURFING"/>
      <sheetName val="TAKRAW"/>
      <sheetName val="SURAU"/>
      <sheetName val="TNB"/>
      <sheetName val="TANGKI"/>
      <sheetName val="SAMPAH"/>
      <sheetName val="PRELIMS"/>
      <sheetName val="RAILING"/>
      <sheetName val="CHAMBER"/>
      <sheetName val="CULVERT"/>
      <sheetName val="SUMP"/>
      <sheetName val="eqp-rek"/>
      <sheetName val="Fill this out first___"/>
      <sheetName val="Analisa"/>
      <sheetName val="SITE-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</sheetDataSet>
  </externalBook>
</externalLink>
</file>

<file path=xl/externalLinks/externalLink4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</sheetNames>
    <sheetDataSet>
      <sheetData sheetId="0"/>
    </sheetDataSet>
  </externalBook>
</externalLink>
</file>

<file path=xl/externalLinks/externalLink4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Du_lieu"/>
      <sheetName val="Tong_gia"/>
      <sheetName val="Chi_tiet_gia"/>
      <sheetName val="KL_dao_Lap_dat"/>
      <sheetName val="THKP_don_gia_chao"/>
      <sheetName val="Tong_GT_khac_Pbo_vao_GT"/>
      <sheetName val="THKP_XL_Khac"/>
      <sheetName val="Lan_trai_tam"/>
      <sheetName val="Chuyen_quan"/>
      <sheetName val="Den_bu"/>
      <sheetName val="VL_NC_M_XL_khac"/>
      <sheetName val="BT_cot_thep"/>
      <sheetName val="KL_cot_thep"/>
      <sheetName val="Dap_Dat"/>
      <sheetName val="Tinh_CT_dao_dat_Luu"/>
      <sheetName val="Tinh_CT_dao_dat"/>
      <sheetName val="Chi_tiet_cot_pha"/>
      <sheetName val="Chiet_tinh_don_gia"/>
      <sheetName val="Don_gia_VCTC"/>
      <sheetName val="Gia_HTXL+VC"/>
      <sheetName val="XL4Poppy"/>
      <sheetName val="KH-Q1,Q2,01"/>
      <sheetName val="Fill this out first..."/>
      <sheetName val="Elektrikal"/>
      <sheetName val="SUMMARY"/>
      <sheetName val="Bang ve"/>
      <sheetName val="Bang tong ke"/>
      <sheetName val="Liet ke vat tu"/>
      <sheetName val="SITE-E"/>
      <sheetName val="SCHEDULLE (2)"/>
      <sheetName val="Bahan"/>
      <sheetName val="Analisa"/>
      <sheetName val="Anal C &amp; F"/>
      <sheetName val="Cut &amp; Fill"/>
      <sheetName val="RAB Asrama"/>
      <sheetName val="Aula"/>
      <sheetName val="Mesjid"/>
      <sheetName val="T. Whudu"/>
      <sheetName val="Rekap"/>
      <sheetName val="Time Schdl"/>
      <sheetName val="XXXXXXXX"/>
      <sheetName val="BQ"/>
      <sheetName val="h.satuan"/>
      <sheetName val="REF.ONLY"/>
      <sheetName val="An. Beton"/>
      <sheetName val="Database"/>
      <sheetName val="ACC"/>
      <sheetName val="eqp-rek"/>
      <sheetName val="GSMTOWER"/>
      <sheetName val="I-ME"/>
      <sheetName val="I-KAMAR"/>
      <sheetName val="FINISHING"/>
      <sheetName val="DAF-2"/>
      <sheetName val="WF "/>
      <sheetName val="Local Cost Centres"/>
      <sheetName val="Data Sheet"/>
      <sheetName val="Currency Code"/>
      <sheetName val="Production Centre"/>
      <sheetName val="Project Groups"/>
      <sheetName val="Sub-Contractor"/>
      <sheetName val="HRG BHN"/>
      <sheetName val="Analisa Upah &amp; Bahan Plum"/>
      <sheetName val="Cover"/>
      <sheetName val="DAF_3"/>
      <sheetName val="DAF_5_1"/>
      <sheetName val="HrgUpahBahan"/>
      <sheetName val="PLUMBING"/>
      <sheetName val="STRUKTUR"/>
      <sheetName val="INDEX"/>
      <sheetName val="RAB"/>
      <sheetName val="harsat"/>
      <sheetName val="r.tank"/>
      <sheetName val="Analisa &amp; Upah"/>
      <sheetName val="Pipe"/>
      <sheetName val="Foundation"/>
      <sheetName val="Sub"/>
      <sheetName val="SAP"/>
      <sheetName val="A"/>
      <sheetName val="Fill_this_out_first___"/>
      <sheetName val="Bang_ve"/>
      <sheetName val="Bang_tong_ke"/>
      <sheetName val="Liet_ke_vat_tu"/>
      <sheetName val="prelim"/>
      <sheetName val="ES-aLL"/>
      <sheetName val="BQ SPP"/>
      <sheetName val="SCH2"/>
      <sheetName val="ch"/>
      <sheetName val="Ijin"/>
      <sheetName val="Subcont"/>
      <sheetName val="villa"/>
      <sheetName val="Fill this out first___"/>
      <sheetName val="FORM X COST"/>
      <sheetName val="Rekap TamKur"/>
      <sheetName val="DAF_5_2"/>
      <sheetName val="Elec_ins"/>
      <sheetName val="Elec-ins"/>
      <sheetName val="Local_Cost_Centres"/>
      <sheetName val="Data_Sheet"/>
      <sheetName val="Currency_Code"/>
      <sheetName val="Production_Centre"/>
      <sheetName val="Project_Groups"/>
      <sheetName val="SCHEDULLE_(2)"/>
      <sheetName val="Anal_C_&amp;_F"/>
      <sheetName val="Cut_&amp;_Fill"/>
      <sheetName val="RAB_Asrama"/>
      <sheetName val="T__Whudu"/>
      <sheetName val="Time_Schdl"/>
      <sheetName val="Fill_this_out_first___1"/>
      <sheetName val="Bang_ve1"/>
      <sheetName val="Bang_tong_ke1"/>
      <sheetName val="Liet_ke_vat_tu1"/>
      <sheetName val="Local_Cost_Centres1"/>
      <sheetName val="Data_Sheet1"/>
      <sheetName val="Currency_Code1"/>
      <sheetName val="Production_Centre1"/>
      <sheetName val="Project_Groups1"/>
      <sheetName val="SCHEDULLE_(2)1"/>
      <sheetName val="Anal_C_&amp;_F1"/>
      <sheetName val="Cut_&amp;_Fill1"/>
      <sheetName val="RAB_Asrama1"/>
      <sheetName val="T__Whudu1"/>
      <sheetName val="Time_Schdl1"/>
      <sheetName val="Material-mr"/>
      <sheetName val="Rekap Direct Cost"/>
      <sheetName val="an. struktur"/>
      <sheetName val="Dashboard"/>
      <sheetName val="An_ Beton"/>
      <sheetName val="PROTECTION "/>
      <sheetName val="Str A"/>
      <sheetName val="Daftar Upah"/>
      <sheetName val="Daftar Harga"/>
      <sheetName val="Cont"/>
      <sheetName val="DETAIL"/>
      <sheetName val="BOW"/>
      <sheetName val="bau"/>
      <sheetName val="MAPP"/>
      <sheetName val="rek det 1-3"/>
      <sheetName val="COST"/>
      <sheetName val="ALEK"/>
      <sheetName val="BAG_2"/>
      <sheetName val="name"/>
      <sheetName val="Solieu"/>
      <sheetName val="TMC"/>
      <sheetName val="TMDT"/>
      <sheetName val="GiaQuyen"/>
      <sheetName val="tong hop"/>
      <sheetName val="TONG"/>
      <sheetName val="THXL"/>
      <sheetName val="GT"/>
      <sheetName val="chitiet"/>
      <sheetName val="DG"/>
      <sheetName val="ThuHoiVT"/>
      <sheetName val="vc"/>
      <sheetName val="VCDD"/>
      <sheetName val="THXL-tr"/>
      <sheetName val="CT_tram"/>
      <sheetName val="TK"/>
      <sheetName val="bu"/>
      <sheetName val="bu-tr"/>
      <sheetName val="klth"/>
      <sheetName val="vtthuhoi"/>
      <sheetName val="tram1x25"/>
      <sheetName val="tram1x50"/>
      <sheetName val="tram3x25"/>
      <sheetName val="tram250"/>
      <sheetName val="tram160"/>
      <sheetName val="kldd2"/>
      <sheetName val="kldd1"/>
      <sheetName val="pp3p_NC"/>
      <sheetName val="pp3p "/>
      <sheetName val="pp1p"/>
      <sheetName val="pphtABC"/>
      <sheetName val="pphtAV"/>
      <sheetName val="TienLuong"/>
      <sheetName val="00000000"/>
      <sheetName val="10000000"/>
      <sheetName val="Sheet2"/>
      <sheetName val="Sheet3"/>
      <sheetName val="Sheet4"/>
      <sheetName val="Sheet5"/>
      <sheetName val="XL4Test5"/>
      <sheetName val="Thang02"/>
      <sheetName val="Thang03"/>
      <sheetName val="thang04"/>
      <sheetName val="Fill_this_out_first___4"/>
      <sheetName val="Bang_ve3"/>
      <sheetName val="Bang_tong_ke3"/>
      <sheetName val="Liet_ke_vat_tu3"/>
      <sheetName val="Local_Cost_Centres3"/>
      <sheetName val="Data_Sheet3"/>
      <sheetName val="Currency_Code3"/>
      <sheetName val="Production_Centre3"/>
      <sheetName val="Project_Groups3"/>
      <sheetName val="SCHEDULLE_(2)3"/>
      <sheetName val="Anal_C_&amp;_F3"/>
      <sheetName val="Cut_&amp;_Fill3"/>
      <sheetName val="RAB_Asrama3"/>
      <sheetName val="T__Whudu3"/>
      <sheetName val="Time_Schdl3"/>
      <sheetName val="h_satuan1"/>
      <sheetName val="REF_ONLY1"/>
      <sheetName val="An__Beton1"/>
      <sheetName val="BQ_SPP1"/>
      <sheetName val="WF_1"/>
      <sheetName val="HRG_BHN1"/>
      <sheetName val="Analisa_Upah_&amp;_Bahan_Plum1"/>
      <sheetName val="FORM_X_COST1"/>
      <sheetName val="Rekap_TamKur1"/>
      <sheetName val="Fill_this_out_first___5"/>
      <sheetName val="Fill_this_out_first___2"/>
      <sheetName val="Bang_ve2"/>
      <sheetName val="Bang_tong_ke2"/>
      <sheetName val="Liet_ke_vat_tu2"/>
      <sheetName val="Local_Cost_Centres2"/>
      <sheetName val="Data_Sheet2"/>
      <sheetName val="Currency_Code2"/>
      <sheetName val="Production_Centre2"/>
      <sheetName val="Project_Groups2"/>
      <sheetName val="SCHEDULLE_(2)2"/>
      <sheetName val="Anal_C_&amp;_F2"/>
      <sheetName val="Cut_&amp;_Fill2"/>
      <sheetName val="RAB_Asrama2"/>
      <sheetName val="T__Whudu2"/>
      <sheetName val="Time_Schdl2"/>
      <sheetName val="h_satuan"/>
      <sheetName val="REF_ONLY"/>
      <sheetName val="An__Beton"/>
      <sheetName val="BQ_SPP"/>
      <sheetName val="WF_"/>
      <sheetName val="HRG_BHN"/>
      <sheetName val="Analisa_Upah_&amp;_Bahan_Plum"/>
      <sheetName val="FORM_X_COST"/>
      <sheetName val="Rekap_TamKur"/>
      <sheetName val="Fill_this_out_first___3"/>
      <sheetName val="MATERIAL+UPAH"/>
      <sheetName val="Steel-Twr"/>
      <sheetName val="DAF_2"/>
      <sheetName val="ESCON"/>
      <sheetName val="DAF-1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</sheetDataSet>
  </externalBook>
</externalLink>
</file>

<file path=xl/externalLinks/externalLink4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gct"/>
      <sheetName val="dtct"/>
      <sheetName val="gvl"/>
      <sheetName val="Sheet10"/>
      <sheetName val="Sheet11"/>
      <sheetName val="Sheet12"/>
      <sheetName val="Sheet13"/>
      <sheetName val="Sheet14"/>
      <sheetName val="Sheet15"/>
      <sheetName val="Sheet16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</sheetDataSet>
  </externalBook>
</externalLink>
</file>

<file path=xl/externalLinks/externalLink4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XXXXXX"/>
      <sheetName val="NH3_CH"/>
      <sheetName val="Sheet1"/>
      <sheetName val="BBS C.house"/>
      <sheetName val="gvl"/>
      <sheetName val="Harga ME "/>
      <sheetName val="COST SUMM"/>
      <sheetName val="SILICATE"/>
      <sheetName val="name"/>
      <sheetName val="INSSUBCON"/>
      <sheetName val="PaintBreak"/>
      <sheetName val="SOURCE"/>
      <sheetName val="SUMMARY"/>
      <sheetName val="Currency"/>
      <sheetName val="D.78"/>
      <sheetName val="D.79"/>
      <sheetName val="D.80"/>
      <sheetName val="D.81"/>
      <sheetName val="D.82"/>
      <sheetName val="D.83"/>
      <sheetName val="D.84"/>
      <sheetName val="D.85"/>
      <sheetName val="D.86"/>
      <sheetName val="D.87"/>
      <sheetName val="D.88"/>
      <sheetName val="D.89"/>
      <sheetName val="D.91"/>
      <sheetName val="D.92"/>
      <sheetName val="D.93"/>
      <sheetName val="D.94"/>
      <sheetName val="D.95"/>
      <sheetName val="D.96"/>
      <sheetName val="costing_CV"/>
      <sheetName val="costing_ESDV"/>
      <sheetName val="costing_FE"/>
      <sheetName val="costing_Misc"/>
      <sheetName val="costing_MOV"/>
      <sheetName val="costing_Press"/>
      <sheetName val="ALLOWANCE"/>
      <sheetName val="MH RATE"/>
      <sheetName val="ITB COST"/>
      <sheetName val="Subcon Status - Sum New Format"/>
      <sheetName val="outstanding"/>
      <sheetName val="Subcontract Status - Sum all $"/>
      <sheetName val="Notes"/>
      <sheetName val="SAP"/>
      <sheetName val="DAF_2"/>
      <sheetName val="TOEC"/>
      <sheetName val="koef"/>
      <sheetName val="an me baru"/>
      <sheetName val="H BH &amp; UP"/>
      <sheetName val="Bangunan Utama B"/>
      <sheetName val="Profil"/>
      <sheetName val="Rkp"/>
      <sheetName val="Cash in"/>
      <sheetName val="Du_lieu"/>
      <sheetName val="Elektrika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</sheetDataSet>
  </externalBook>
</externalLink>
</file>

<file path=xl/externalLinks/externalLink4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000"/>
      <sheetName val="1000"/>
      <sheetName val="ELEKTRIKAL"/>
      <sheetName val="REKAP"/>
      <sheetName val="AC"/>
      <sheetName val="Plumbing"/>
      <sheetName val="Dafmat"/>
      <sheetName val="Pompa"/>
      <sheetName val="Ven Fan"/>
      <sheetName val="Ana Duct"/>
      <sheetName val="Hsd Duct"/>
      <sheetName val="Pipe"/>
      <sheetName val="Grille"/>
      <sheetName val="valve-20k"/>
      <sheetName val="valve-10k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4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F-4"/>
      <sheetName val="Isolasi Luar"/>
      <sheetName val="Isolasi Luar Dalam"/>
      <sheetName val="Tanpa Isolasi"/>
      <sheetName val="INFO"/>
      <sheetName val="CAT-HARGA"/>
      <sheetName val="TOTAL"/>
      <sheetName val="DAF-1"/>
      <sheetName val="DAF-2"/>
      <sheetName val="DAF-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</sheetDataSet>
  </externalBook>
</externalLink>
</file>

<file path=xl/externalLinks/externalLink4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"/>
      <sheetName val="Bul"/>
      <sheetName val="Alat"/>
      <sheetName val="SumBoQ C4"/>
      <sheetName val="BoQ C4"/>
      <sheetName val="DayWorks"/>
      <sheetName val="Analisa"/>
      <sheetName val="mat.dominan"/>
      <sheetName val="Resik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C-FIN"/>
      <sheetName val="Spek Kusen"/>
      <sheetName val="Sheet1"/>
      <sheetName val="Kusen"/>
      <sheetName val="AN-Prelim"/>
      <sheetName val="AN-M&amp;E"/>
      <sheetName val="Analisa"/>
      <sheetName val="BD"/>
      <sheetName val="Gross Area"/>
      <sheetName val="Vol-M&amp;E"/>
      <sheetName val="T-Sch"/>
      <sheetName val="Remark"/>
      <sheetName val="TOTAL"/>
      <sheetName val="PRELIM"/>
      <sheetName val="RUKA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5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ype 57  A"/>
      <sheetName val="Rekap 57 A"/>
      <sheetName val="Type 57 B"/>
      <sheetName val="Rekap 57 B"/>
    </sheetNames>
    <sheetDataSet>
      <sheetData sheetId="0"/>
      <sheetData sheetId="1" refreshError="1"/>
      <sheetData sheetId="2" refreshError="1"/>
      <sheetData sheetId="3" refreshError="1"/>
    </sheetDataSet>
  </externalBook>
</externalLink>
</file>

<file path=xl/externalLinks/externalLink5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ype 57  A"/>
      <sheetName val="Rekap 57 A"/>
      <sheetName val="Type 57 B"/>
      <sheetName val="Rekap 57 B"/>
    </sheetNames>
    <sheetDataSet>
      <sheetData sheetId="0"/>
      <sheetData sheetId="1"/>
      <sheetData sheetId="2"/>
      <sheetData sheetId="3"/>
    </sheetDataSet>
  </externalBook>
</externalLink>
</file>

<file path=xl/externalLinks/externalLink5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DF-7"/>
      <sheetName val="DF-7 (2)"/>
    </sheetNames>
    <sheetDataSet>
      <sheetData sheetId="0"/>
      <sheetData sheetId="1"/>
      <sheetData sheetId="2" refreshError="1"/>
    </sheetDataSet>
  </externalBook>
</externalLink>
</file>

<file path=xl/externalLinks/externalLink5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otal"/>
      <sheetName val="Acessoris"/>
      <sheetName val="Apartement"/>
      <sheetName val="Jembatan"/>
      <sheetName val="MallAC"/>
      <sheetName val="Ana Duct"/>
      <sheetName val="Hsd Duct"/>
      <sheetName val="Pipe"/>
      <sheetName val="Grille"/>
      <sheetName val="valve"/>
      <sheetName val="Dafmat"/>
      <sheetName val="DM"/>
      <sheetName val="Peghitungan"/>
      <sheetName val="MALL_K"/>
      <sheetName val="Item Tambahan"/>
      <sheetName val="APARTment_K"/>
      <sheetName val="Jembatan_K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</sheetDataSet>
  </externalBook>
</externalLink>
</file>

<file path=xl/externalLinks/externalLink5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han"/>
      <sheetName val="Estimasi Biaya (2)"/>
      <sheetName val="Estimasi Biaya"/>
      <sheetName val="Bill of Quantity (2)"/>
      <sheetName val="Sheet1"/>
      <sheetName val="Rekap"/>
      <sheetName val="Pagar"/>
      <sheetName val="Cal.Sheet Show Room"/>
      <sheetName val="Cal.Sheet Penunjang"/>
      <sheetName val="Cal.Sheet Pos Jaga"/>
      <sheetName val="Cal.Sheet Bengkel"/>
      <sheetName val="Cal.Sheet Biotex"/>
      <sheetName val="Bill of Quantity"/>
      <sheetName val="Analisa"/>
      <sheetName val="Upah"/>
      <sheetName val="Alat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5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leqoq"/>
      <sheetName val="IPL_SCHEDULE"/>
      <sheetName val="UU_PR-4&amp;5"/>
      <sheetName val="BBS (UU_PR-4)"/>
      <sheetName val="BBS (UU_PR-5)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5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-11 Steel Str (3)"/>
      <sheetName val="A-11 Steel Str (2)"/>
      <sheetName val="A-11 Steel Str"/>
      <sheetName val="A-11 Steel Str Sort"/>
      <sheetName val="A-11 Steel Str (A)"/>
      <sheetName val="A_11 Steel Str _2_"/>
      <sheetName val="IPL_SCHEDULE"/>
      <sheetName val="EK"/>
      <sheetName val="BQ"/>
      <sheetName val="Tabel Ohm LV"/>
      <sheetName val="GRAND REKAP"/>
      <sheetName val="dia-in"/>
      <sheetName val="ahas-ins"/>
      <sheetName val="Supply Agrmnt"/>
      <sheetName val="Bahan"/>
      <sheetName val="Ind.MP Sch."/>
      <sheetName val="4"/>
      <sheetName val="Pipe"/>
      <sheetName val="STR - 2B"/>
      <sheetName val="PileCap"/>
      <sheetName val="Cover"/>
      <sheetName val="DAF-1"/>
      <sheetName val="D-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5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Tsuara"/>
      <sheetName val="Titik kabel"/>
      <sheetName val="Tata Suara (4)"/>
      <sheetName val="Tata Suara (5)"/>
      <sheetName val="Tata Suara (6)"/>
      <sheetName val="chitimc"/>
      <sheetName val="THPDMoi  (2)"/>
      <sheetName val="dongia (2)"/>
      <sheetName val="gtrinh"/>
      <sheetName val="phuluc1"/>
      <sheetName val="TONG HOP VL-NC"/>
      <sheetName val="lam-moi"/>
      <sheetName val="chitiet"/>
      <sheetName val="TONGKE3p "/>
      <sheetName val="giathanh1"/>
      <sheetName val="TH VL, NC, DDHT Thanhphuoc"/>
      <sheetName val="#REF"/>
      <sheetName val="DONGIA"/>
      <sheetName val="thao-go"/>
      <sheetName val="DON GIA"/>
      <sheetName val="TONGKE-HT"/>
      <sheetName val="DG"/>
      <sheetName val="dtxl"/>
      <sheetName val="LKVL-CK-HT-GD1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I-KAMAR"/>
      <sheetName val="GRAND REKAP"/>
      <sheetName val="Calculations"/>
      <sheetName val="Struktur"/>
      <sheetName val="RAB"/>
      <sheetName val="H.Satuan"/>
      <sheetName val="FORM X COST"/>
      <sheetName val="Structure"/>
      <sheetName val="HB "/>
      <sheetName val="Harga satuan"/>
      <sheetName val="Master 1.0"/>
      <sheetName val="A-11 Steel Str (2)"/>
      <sheetName val="Pipe"/>
      <sheetName val="Steel-Twr"/>
      <sheetName val="DASH"/>
      <sheetName val="rek det 1-3"/>
      <sheetName val="G_SUMMARY"/>
      <sheetName val="EK"/>
      <sheetName val="CV"/>
      <sheetName val="4"/>
      <sheetName val="iTEM hARSAT"/>
      <sheetName val="BQ ARS"/>
      <sheetName val="Hargamat"/>
      <sheetName val="Isolasi Luar Dalam"/>
      <sheetName val="Isolasi Luar"/>
      <sheetName val="IPL_SCHEDULE"/>
      <sheetName val="Bahan"/>
      <sheetName val="rekap.c"/>
      <sheetName val="BAG-III"/>
      <sheetName val="DAF-4"/>
      <sheetName val="fin Villa A"/>
      <sheetName val="Analisa Upah &amp; Bahan Plum"/>
      <sheetName val="Material"/>
      <sheetName val="index"/>
      <sheetName val="Meth"/>
      <sheetName val="AN-E"/>
      <sheetName val="Analisa 2"/>
      <sheetName val="s"/>
      <sheetName val="Daf 1"/>
      <sheetName val="DAF-1"/>
      <sheetName val="FAKTOR"/>
      <sheetName val="escon"/>
      <sheetName val="DAFTAR HARGA"/>
      <sheetName val="Rate"/>
      <sheetName val="SAP"/>
      <sheetName val="Scd_RAB"/>
      <sheetName val="Penwrn"/>
      <sheetName val="sched"/>
      <sheetName val="KEBALAT"/>
      <sheetName val="FINAL"/>
      <sheetName val="CRUSER"/>
      <sheetName val="4-MVAC"/>
      <sheetName val="304_06"/>
      <sheetName val="TOTAL"/>
      <sheetName val="DAFTAR 7"/>
      <sheetName val="DAFTAR_8"/>
      <sheetName val="HRG BHN"/>
      <sheetName val="DAF_1"/>
      <sheetName val="ch"/>
      <sheetName val="J"/>
      <sheetName val="BID_PRC"/>
      <sheetName val="PRC_COMP"/>
      <sheetName val="ANALISA"/>
      <sheetName val="Elektrikal"/>
      <sheetName val="BM"/>
      <sheetName val="AN-PIPA"/>
      <sheetName val="SAT EL"/>
      <sheetName val="Scedule"/>
      <sheetName val="D-1"/>
      <sheetName val="I_KAMAR"/>
      <sheetName val="Supply Agrmnt"/>
      <sheetName val="ahas-ins"/>
      <sheetName val="Titik_kabel"/>
      <sheetName val="Tata_Suara_(4)"/>
      <sheetName val="Tata_Suara_(5)"/>
      <sheetName val="Tata_Suara_(6)"/>
      <sheetName val="THPDMoi__(2)"/>
      <sheetName val="dongia_(2)"/>
      <sheetName val="TONG_HOP_VL-NC"/>
      <sheetName val="TONGKE3p_"/>
      <sheetName val="TH_VL,_NC,_DDHT_Thanhphuoc"/>
      <sheetName val="DON_GIA"/>
      <sheetName val="t-h_HA_THE"/>
      <sheetName val="CHITIET_VL-NC-TT_-1p"/>
      <sheetName val="TONG_HOP_VL-NC_TT"/>
      <sheetName val="TH_XL"/>
      <sheetName val="CHITIET_VL-NC"/>
      <sheetName val="CHITIET_VL-NC-TT-3p"/>
      <sheetName val="KPVC-BD_"/>
      <sheetName val="GRAND_REKAP"/>
      <sheetName val="H_Satuan"/>
      <sheetName val="insentif"/>
      <sheetName val="formminat"/>
      <sheetName val="Anal "/>
      <sheetName val="2.4~LISTRIK"/>
      <sheetName val="2.9~TLP&amp;DATA"/>
      <sheetName val="2.6~TS"/>
      <sheetName val="Analisa Upah _ Bahan Plum"/>
      <sheetName val="6-MVAC"/>
      <sheetName val="Bill of Qty"/>
      <sheetName val="Analisa Harsat"/>
      <sheetName val="Rekap"/>
      <sheetName val="000000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</sheetDataSet>
  </externalBook>
</externalLink>
</file>

<file path=xl/externalLinks/externalLink5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DF-8"/>
      <sheetName val="Titik kabel"/>
    </sheetNames>
    <sheetDataSet>
      <sheetData sheetId="0"/>
      <sheetData sheetId="1"/>
      <sheetData sheetId="2"/>
    </sheetDataSet>
  </externalBook>
</externalLink>
</file>

<file path=xl/externalLinks/externalLink5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Sheet1"/>
      <sheetName val="v 1"/>
      <sheetName val="v2"/>
      <sheetName val="v3"/>
      <sheetName val="v 4&amp;5"/>
      <sheetName val="SB"/>
      <sheetName val="LO"/>
      <sheetName val="SW"/>
      <sheetName val="GRG"/>
      <sheetName val="GYM"/>
      <sheetName val="PGR"/>
      <sheetName val="reka"/>
      <sheetName val="Sheet4"/>
      <sheetName val="mep"/>
      <sheetName val="Upah"/>
      <sheetName val="Bahan"/>
      <sheetName val="Analisa"/>
      <sheetName val="ME&amp;P(Analisa)"/>
      <sheetName val="HRG BHN"/>
      <sheetName val="DAF-1"/>
      <sheetName val="Material"/>
      <sheetName val="DAF-9"/>
      <sheetName val="prelim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C"/>
      <sheetName val="K.TambahAC"/>
      <sheetName val="FH"/>
      <sheetName val="K.TambahFH"/>
      <sheetName val="Pipe"/>
      <sheetName val="valve"/>
      <sheetName val="valve 16k"/>
      <sheetName val="ASS-PL"/>
      <sheetName val="Fitting"/>
      <sheetName val="Ana duct"/>
      <sheetName val="Hsd Duct"/>
      <sheetName val="Grille"/>
      <sheetName val="DM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6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AIN BQ"/>
      <sheetName val="MAIN BQ (2)"/>
      <sheetName val="MAIN BQ (3)"/>
      <sheetName val="PRELIM"/>
      <sheetName val="URB"/>
      <sheetName val="Analisa"/>
      <sheetName val="Cover"/>
      <sheetName val="DAF-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6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AB"/>
      <sheetName val="Cal-Sheet"/>
      <sheetName val="Unit Price"/>
      <sheetName val="Bahan"/>
      <sheetName val="Upah"/>
      <sheetName val="Al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6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 - Norelec"/>
    </sheetNames>
    <sheetDataSet>
      <sheetData sheetId="0"/>
    </sheetDataSet>
  </externalBook>
</externalLink>
</file>

<file path=xl/externalLinks/externalLink6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ampul"/>
      <sheetName val="Schedule"/>
      <sheetName val="LT&amp;Plafond"/>
      <sheetName val="Dinding"/>
      <sheetName val="Sanitair"/>
      <sheetName val="Kusen"/>
      <sheetName val="ANKusen"/>
      <sheetName val="Sch-Kusen"/>
      <sheetName val="QTY-Kusen"/>
      <sheetName val="Struktur"/>
      <sheetName val="Pilecaps"/>
      <sheetName val="Tie Beam"/>
      <sheetName val="Balok"/>
      <sheetName val="Cover"/>
      <sheetName val="Kolom"/>
      <sheetName val="Plat"/>
      <sheetName val="Tangga"/>
      <sheetName val="ANPrelim"/>
      <sheetName val="Lain-2"/>
      <sheetName val="M&amp;E"/>
      <sheetName val="AN-M&amp;E"/>
      <sheetName val="Analisa"/>
      <sheetName val="Rekap"/>
      <sheetName val="BOQ KJ-D &amp; KJ-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6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hn-Analisa"/>
      <sheetName val="hrg-sat.pek"/>
      <sheetName val="Anl-Kosen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6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HAN"/>
      <sheetName val="UPAH"/>
      <sheetName val="ANALISA HARGA SATUAN"/>
      <sheetName val="RENCANA ANGGARAN BIAYA"/>
      <sheetName val="REKAPITULASI"/>
      <sheetName val="BILL OF QUANTITY"/>
      <sheetName val="REKAP KOSONG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6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 Depan"/>
      <sheetName val="Penjumlahan"/>
      <sheetName val="D-1"/>
      <sheetName val="D2.1"/>
      <sheetName val="D2.2"/>
      <sheetName val="D3.1"/>
      <sheetName val="D4.1"/>
      <sheetName val="D5.1"/>
      <sheetName val="D6.1"/>
      <sheetName val="D7.1"/>
      <sheetName val="D4-2(TA) "/>
      <sheetName val="D5-2(TB)"/>
      <sheetName val="D6-2(TC)"/>
      <sheetName val="D7-2(TD)"/>
      <sheetName val="provisionalsum"/>
      <sheetName val="cover ps"/>
      <sheetName val="cover prelim"/>
      <sheetName val="cover basement"/>
      <sheetName val="cover basement2.2"/>
      <sheetName val="cover Lantai 1,2,3,4&amp;5"/>
      <sheetName val="cover Area TA"/>
      <sheetName val="cover Area TA (2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</sheetDataSet>
  </externalBook>
</externalLink>
</file>

<file path=xl/externalLinks/externalLink6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Q"/>
      <sheetName val="BREAKDOWN"/>
      <sheetName val="RESUME"/>
      <sheetName val="BASIC PRICE"/>
      <sheetName val="DATA BASE"/>
      <sheetName val="SUBSTITUTION"/>
      <sheetName val="Sheet2"/>
      <sheetName val="TRESTLE"/>
      <sheetName val="Paint Type A"/>
      <sheetName val="Paint Type B"/>
      <sheetName val="SPEC1"/>
      <sheetName val="SPEC LOCA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6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kap"/>
      <sheetName val="Elektrikal"/>
      <sheetName val="Elektronik"/>
      <sheetName val="AC"/>
      <sheetName val="Plumbing"/>
      <sheetName val="spek"/>
      <sheetName val="rekap.evals"/>
      <sheetName val="elec.evals"/>
      <sheetName val="elka.evals"/>
      <sheetName val="AC.evals"/>
      <sheetName val="Plum.evals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6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"/>
      <sheetName val="2"/>
      <sheetName val="3"/>
      <sheetName val="4"/>
      <sheetName val="Work Item"/>
      <sheetName val="A-01 Site Preparation Work ESI"/>
      <sheetName val="A-02 River Water Intake (ED)"/>
      <sheetName val="A-03 Pile"/>
      <sheetName val="A-04 Equip't Found"/>
      <sheetName val="A-05 Conc. Str"/>
      <sheetName val="A-06 Pit &amp; Pond"/>
      <sheetName val="A-07 Road &amp; Pavement"/>
      <sheetName val="A-08 Sewer &amp; Drainage"/>
      <sheetName val="A-09 Civil Work For Piping"/>
      <sheetName val="A-10 Civil Work For Electrical"/>
      <sheetName val="A-11 SUM-STEEL"/>
      <sheetName val="A-11 Steel Str"/>
      <sheetName val="SUM-OVERALL"/>
      <sheetName val="SUM-AREA-1"/>
      <sheetName val="A-12"/>
      <sheetName val="A-12 Arch"/>
      <sheetName val="A-12 Arch TEC"/>
      <sheetName val="A-13 Fencing &amp; Gate"/>
      <sheetName val="A-09B Civil Work For RWP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RT"/>
      <sheetName val="ESCON"/>
      <sheetName val="SUM-PRO (4)"/>
      <sheetName val="SUM-PRO (3)"/>
      <sheetName val="SUM-PRO (2)"/>
      <sheetName val="SUM-PRO"/>
      <sheetName val="SEX (4)"/>
      <sheetName val="SEX (3)"/>
      <sheetName val="SEX (2)"/>
      <sheetName val="SEX"/>
      <sheetName val="scope"/>
      <sheetName val="MAKER"/>
      <sheetName val="PRO-PH3"/>
      <sheetName val="PRO-PH2"/>
      <sheetName val="PRO"/>
      <sheetName val="BQ"/>
      <sheetName val="equipment"/>
      <sheetName val="B - Norelec"/>
      <sheetName val="A"/>
      <sheetName val="AC"/>
      <sheetName val="lintec-sumicon"/>
      <sheetName val="tifico"/>
      <sheetName val="sort2"/>
      <sheetName val="Unit Rate"/>
      <sheetName val="Pipe"/>
      <sheetName val="SUM-PRO_(4)"/>
      <sheetName val="SUM-PRO_(3)"/>
      <sheetName val="SUM-PRO_(2)"/>
      <sheetName val="SEX_(4)"/>
      <sheetName val="SEX_(3)"/>
      <sheetName val="SEX_(2)"/>
      <sheetName val="B_-_Norelec"/>
      <sheetName val="Cover Daf-2"/>
      <sheetName val="Fill this out first___"/>
      <sheetName val="CAT_HAR"/>
      <sheetName val="Cash Flow bulanan"/>
      <sheetName val="I-KAMAR"/>
      <sheetName val="I_KAMAR"/>
      <sheetName val="Unit_Rate"/>
      <sheetName val="#REF"/>
      <sheetName val="BAG-2"/>
      <sheetName val="SUM-PRO_(4)1"/>
      <sheetName val="SUM-PRO_(3)1"/>
      <sheetName val="SUM-PRO_(2)1"/>
      <sheetName val="SEX_(4)1"/>
      <sheetName val="SEX_(3)1"/>
      <sheetName val="SEX_(2)1"/>
      <sheetName val="B_-_Norelec1"/>
      <sheetName val="Fill_this_out_first___"/>
      <sheetName val="H.Satuan"/>
      <sheetName val="DSBDY"/>
      <sheetName val="Daftar Upah"/>
      <sheetName val="harsat"/>
      <sheetName val="Cover"/>
      <sheetName val="NAMES"/>
      <sheetName val="Bill of Qty MEP"/>
      <sheetName val="PRD 01-7"/>
      <sheetName val="PRD 01-8"/>
      <sheetName val="PRD 01-9"/>
      <sheetName val="PRD 01-10"/>
      <sheetName val="PRD 01-11"/>
      <sheetName val="PRD 01-3"/>
      <sheetName val="PRD 01-4"/>
      <sheetName val="DAF-1"/>
      <sheetName val="RAB AR&amp;STR"/>
      <sheetName val="Material"/>
      <sheetName val="4-Basic Price"/>
      <sheetName val="Pers"/>
      <sheetName val="HM"/>
      <sheetName val="HB "/>
      <sheetName val="Bahan"/>
      <sheetName val="HRG BHN"/>
      <sheetName val="EE-PROP"/>
      <sheetName val="COVERUSRP"/>
      <sheetName val="SITE"/>
      <sheetName val="ESCOND"/>
      <sheetName val="BQUSRP"/>
      <sheetName val="Isolasi Luar Dalam"/>
      <sheetName val="Isolasi Luar"/>
      <sheetName val="NET表"/>
      <sheetName val="BQ表"/>
      <sheetName val="DAFTAR 7"/>
      <sheetName val="Fill this out first..."/>
      <sheetName val="Tabel Berat"/>
      <sheetName val="STRUKTUR"/>
      <sheetName val="Analisa STR"/>
      <sheetName val="HARGA MATERIAL"/>
      <sheetName val="JKT (2)"/>
      <sheetName val="Mat"/>
      <sheetName val="Markup"/>
      <sheetName val="GSMTOWER"/>
      <sheetName val="BQ-E20-02(Rp)"/>
      <sheetName val="RAB T-95 BK"/>
      <sheetName val="GTS I PS"/>
      <sheetName val="FINISHING"/>
      <sheetName val="SUM 200"/>
      <sheetName val="SUM-PRO_(4)2"/>
      <sheetName val="SUM-PRO_(3)2"/>
      <sheetName val="SUM-PRO_(2)2"/>
      <sheetName val="SEX_(4)2"/>
      <sheetName val="SEX_(3)2"/>
      <sheetName val="SEX_(2)2"/>
      <sheetName val="B_-_Norelec2"/>
      <sheetName val="Unit_Rate1"/>
      <sheetName val="Cover_Daf-2"/>
      <sheetName val="Fill_this_out_first___1"/>
      <sheetName val="Cash_Flow_bulanan"/>
      <sheetName val="H_Satuan"/>
      <sheetName val="Daftar_Upah"/>
      <sheetName val="Bill_of_Qty_MEP"/>
      <sheetName val="4-Basic_Price"/>
      <sheetName val="Kuantitas &amp; Harga"/>
      <sheetName val="Estimate"/>
      <sheetName val="LOADDAT"/>
      <sheetName val=" Rencana Vol per Section"/>
      <sheetName val="Div2"/>
      <sheetName val="JAD-PEL"/>
      <sheetName val="NET_"/>
      <sheetName val="BQ_"/>
      <sheetName val="SITE-E"/>
      <sheetName val="STR"/>
      <sheetName val="Sheet1"/>
      <sheetName val="351BQMCN"/>
      <sheetName val="Analisa"/>
      <sheetName val="D.1.7"/>
      <sheetName val="D.1.5"/>
      <sheetName val="D.2.3"/>
      <sheetName val="D.2.2"/>
      <sheetName val="D &amp; W sizes"/>
      <sheetName val="I-ME"/>
      <sheetName val="Steel-Twr"/>
      <sheetName val="hrg-sat.pek"/>
      <sheetName val="Prelim"/>
      <sheetName val="RAB_AR&amp;STR"/>
      <sheetName val="PRD_01-7"/>
      <sheetName val="PRD_01-8"/>
      <sheetName val="PRD_01-9"/>
      <sheetName val="PRD_01-10"/>
      <sheetName val="PRD_01-11"/>
      <sheetName val="PRD_01-3"/>
      <sheetName val="PRD_01-4"/>
      <sheetName val="L-Mechanical"/>
      <sheetName val="Faktor"/>
      <sheetName val="TS"/>
      <sheetName val="RAB"/>
      <sheetName val="Plafond"/>
      <sheetName val="Urai _Resap pengikat"/>
      <sheetName val="index"/>
      <sheetName val="rekap ahs"/>
      <sheetName val="rekap-bialat"/>
      <sheetName val="Currency Rate"/>
      <sheetName val="an. struktur"/>
      <sheetName val="Dashboard"/>
      <sheetName val="struktur tdk dipakai"/>
      <sheetName val="Isolasi_Luar_Dalam"/>
      <sheetName val="Isolasi_Luar"/>
      <sheetName val="VLOOKUP"/>
      <sheetName val="CODE"/>
      <sheetName val="24V"/>
      <sheetName val="AHSbj"/>
      <sheetName val="TOTAL"/>
      <sheetName val="villa"/>
      <sheetName val="01A- RAB"/>
      <sheetName val="Panel,feeder,elek"/>
      <sheetName val="TJ1Q47"/>
      <sheetName val="Sch"/>
      <sheetName val="chitimc"/>
      <sheetName val="dongia (2)"/>
      <sheetName val="LKVL-CK-HT-GD1"/>
      <sheetName val="giathanh1"/>
      <sheetName val="THPDMoi  (2)"/>
      <sheetName val="gtrinh"/>
      <sheetName val="phuluc1"/>
      <sheetName val="TONG HOP VL-NC"/>
      <sheetName val="lam-moi"/>
      <sheetName val="chitiet"/>
      <sheetName val="TONGKE3p "/>
      <sheetName val="TH VL, NC, DDHT Thanhphuoc"/>
      <sheetName val="DONGIA"/>
      <sheetName val="thao-go"/>
      <sheetName val="DON GIA"/>
      <sheetName val="TONGKE-HT"/>
      <sheetName val="DG"/>
      <sheetName val="dtxl"/>
      <sheetName val="t-h HA THE"/>
      <sheetName val="CHITIET VL-NC-TT -1p"/>
      <sheetName val="TONG HOP VL-NC TT"/>
      <sheetName val="TNHCHINH"/>
      <sheetName val="TH XL"/>
      <sheetName val="CHITIET VL-NC"/>
      <sheetName val="VC"/>
      <sheetName val="Tiepdia"/>
      <sheetName val="CHITIET VL-NC-TT-3p"/>
      <sheetName val="TDTKP"/>
      <sheetName val="TDTKP1"/>
      <sheetName val="KPVC-BD "/>
      <sheetName val="VCV-BE-TONG"/>
      <sheetName val="PL1"/>
      <sheetName val="PL2"/>
      <sheetName val="PL3"/>
      <sheetName val="PL4"/>
      <sheetName val="Duc-3"/>
      <sheetName val="Piping"/>
      <sheetName val="H. Satuan"/>
      <sheetName val="AHS. Keg"/>
      <sheetName val="TABEL BAJA"/>
      <sheetName val="DAF-2"/>
      <sheetName val="Quantity"/>
      <sheetName val="____"/>
      <sheetName val="Elec-ins"/>
      <sheetName val="SAT-BHN"/>
      <sheetName val="INPUT DATAS"/>
      <sheetName val="플랜트 설치"/>
      <sheetName val="plumbing"/>
      <sheetName val="DAF-9"/>
      <sheetName val="HRG_BHN"/>
      <sheetName val="HB_"/>
      <sheetName val="HARGA_MATERIAL"/>
      <sheetName val="Bahan upah"/>
      <sheetName val="Summary"/>
      <sheetName val="BQ ARS"/>
      <sheetName val="hs-str"/>
      <sheetName val="FitOutConfCentre"/>
      <sheetName val="Perm. Test"/>
      <sheetName val="Galian 1"/>
      <sheetName val="uraian analisa"/>
      <sheetName val="DATA PROYEK"/>
      <sheetName val="Bill_Qua"/>
      <sheetName val="REKAP"/>
      <sheetName val="AKP"/>
      <sheetName val="Bi-BANK"/>
      <sheetName val="BU"/>
      <sheetName val="PP"/>
      <sheetName val="PRLTN"/>
      <sheetName val="R_BOS"/>
      <sheetName val="R_PRLT"/>
      <sheetName val="R_UPH"/>
      <sheetName val="RBP_1"/>
      <sheetName val="RBP-MAT"/>
      <sheetName val="RBP-SKON"/>
      <sheetName val="RUPA2"/>
      <sheetName val="SUBKON"/>
      <sheetName val="UPAH"/>
      <sheetName val="DISBIA"/>
      <sheetName val="BBM"/>
      <sheetName val="BRK-DWN"/>
      <sheetName val="MTRL"/>
      <sheetName val="R_BANK"/>
      <sheetName val="R_PP"/>
      <sheetName val="R_RUPA"/>
      <sheetName val="RBP"/>
      <sheetName val="SKAT"/>
      <sheetName val="SURAT"/>
      <sheetName val="div7"/>
      <sheetName val="RBP2"/>
      <sheetName val="RBP- 2"/>
      <sheetName val="AKP-1"/>
      <sheetName val="B"/>
      <sheetName val="RUPS"/>
      <sheetName val="Memb Schd"/>
      <sheetName val="GLP's and PSPC's"/>
      <sheetName val="Internal Summary"/>
      <sheetName val="Antenna"/>
      <sheetName val="harga"/>
      <sheetName val="Admin"/>
      <sheetName val="bobot"/>
      <sheetName val="BS pricing"/>
      <sheetName val="Parameter"/>
      <sheetName val="BOM"/>
      <sheetName val="Project Summary"/>
      <sheetName val="lookup"/>
      <sheetName val="Factor"/>
      <sheetName val="GLP_s_changed_from_previous"/>
      <sheetName val="Alloc 1"/>
      <sheetName val="CONV_TAB"/>
      <sheetName val="BILL"/>
      <sheetName val="Legend"/>
      <sheetName val="GLP-DISCOUNT"/>
      <sheetName val="BER CAL"/>
      <sheetName val="Legenda"/>
      <sheetName val="BSC_UPGRADES"/>
      <sheetName val="Problem Class"/>
      <sheetName val="ALL"/>
      <sheetName val="BQ-Str"/>
      <sheetName val="SUM-PRO_(4)3"/>
      <sheetName val="SUM-PRO_(3)3"/>
      <sheetName val="SUM-PRO_(2)3"/>
      <sheetName val="SEX_(4)3"/>
      <sheetName val="SEX_(3)3"/>
      <sheetName val="SEX_(2)3"/>
      <sheetName val="B_-_Norelec3"/>
      <sheetName val="Unit_Rate2"/>
      <sheetName val="Daftar_Upah1"/>
      <sheetName val="Cover_Daf-21"/>
      <sheetName val="Fill_this_out_first___3"/>
      <sheetName val="Cash_Flow_bulanan1"/>
      <sheetName val="H_Satuan1"/>
      <sheetName val="Bill_of_Qty_MEP1"/>
      <sheetName val="4-Basic_Price1"/>
      <sheetName val="PRD_01-71"/>
      <sheetName val="PRD_01-81"/>
      <sheetName val="PRD_01-91"/>
      <sheetName val="PRD_01-101"/>
      <sheetName val="PRD_01-111"/>
      <sheetName val="PRD_01-31"/>
      <sheetName val="PRD_01-41"/>
      <sheetName val="Fill_this_out_first___4"/>
      <sheetName val="Tabel_Berat1"/>
      <sheetName val="Analisa_STR1"/>
      <sheetName val="HARGA_MATERIAL1"/>
      <sheetName val="RAB_AR&amp;STR1"/>
      <sheetName val="HRG_BHN1"/>
      <sheetName val="JKT_(2)1"/>
      <sheetName val="Fill_this_out_first___2"/>
      <sheetName val="Tabel_Berat"/>
      <sheetName val="Analisa_STR"/>
      <sheetName val="JKT_(2)"/>
      <sheetName val="SUM-PRO_(4)4"/>
      <sheetName val="SUM-PRO_(3)4"/>
      <sheetName val="SUM-PRO_(2)4"/>
      <sheetName val="SEX_(4)4"/>
      <sheetName val="SEX_(3)4"/>
      <sheetName val="SEX_(2)4"/>
      <sheetName val="B_-_Norelec4"/>
      <sheetName val="Unit_Rate3"/>
      <sheetName val="Daftar_Upah2"/>
      <sheetName val="Cover_Daf-22"/>
      <sheetName val="Fill_this_out_first___5"/>
      <sheetName val="Cash_Flow_bulanan2"/>
      <sheetName val="H_Satuan2"/>
      <sheetName val="Bill_of_Qty_MEP2"/>
      <sheetName val="4-Basic_Price2"/>
      <sheetName val="PRD_01-72"/>
      <sheetName val="PRD_01-82"/>
      <sheetName val="PRD_01-92"/>
      <sheetName val="PRD_01-102"/>
      <sheetName val="PRD_01-112"/>
      <sheetName val="PRD_01-32"/>
      <sheetName val="PRD_01-42"/>
      <sheetName val="Fill_this_out_first___6"/>
      <sheetName val="Tabel_Berat2"/>
      <sheetName val="Analisa_STR2"/>
      <sheetName val="HARGA_MATERIAL2"/>
      <sheetName val="RAB_AR&amp;STR2"/>
      <sheetName val="HRG_BHN2"/>
      <sheetName val="JKT_(2)2"/>
      <sheetName val="SUM-PRO_(4)5"/>
      <sheetName val="SUM-PRO_(3)5"/>
      <sheetName val="SUM-PRO_(2)5"/>
      <sheetName val="SEX_(4)5"/>
      <sheetName val="SEX_(3)5"/>
      <sheetName val="SEX_(2)5"/>
      <sheetName val="B_-_Norelec5"/>
      <sheetName val="Unit_Rate4"/>
      <sheetName val="Daftar_Upah3"/>
      <sheetName val="Cover_Daf-23"/>
      <sheetName val="Fill_this_out_first___7"/>
      <sheetName val="Cash_Flow_bulanan3"/>
      <sheetName val="H_Satuan3"/>
      <sheetName val="Bill_of_Qty_MEP3"/>
      <sheetName val="4-Basic_Price3"/>
      <sheetName val="PRD_01-73"/>
      <sheetName val="PRD_01-83"/>
      <sheetName val="PRD_01-93"/>
      <sheetName val="PRD_01-103"/>
      <sheetName val="PRD_01-113"/>
      <sheetName val="PRD_01-33"/>
      <sheetName val="PRD_01-43"/>
      <sheetName val="Fill_this_out_first___8"/>
      <sheetName val="Tabel_Berat3"/>
      <sheetName val="Analisa_STR3"/>
      <sheetName val="HARGA_MATERIAL3"/>
      <sheetName val="RAB_AR&amp;STR3"/>
      <sheetName val="HRG_BHN3"/>
      <sheetName val="JKT_(2)3"/>
      <sheetName val="TYPE A"/>
      <sheetName val="TYPE B"/>
      <sheetName val="TYPE C"/>
      <sheetName val="TYPE D"/>
      <sheetName val="BOR PILE"/>
      <sheetName val="BASEMENT PELATARAN"/>
      <sheetName val="SIRKULASI, PELATARAN, EKSTERNA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</sheetDataSet>
  </externalBook>
</externalLink>
</file>

<file path=xl/externalLinks/externalLink7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s"/>
      <sheetName val="BP Reo"/>
      <sheetName val="Piling"/>
      <sheetName val="RC Piles"/>
      <sheetName val="Bored Piles"/>
      <sheetName val="WB"/>
      <sheetName val="WB2"/>
      <sheetName val="FR2"/>
      <sheetName val="FR3(Col)"/>
      <sheetName val="FR4(Bm)"/>
      <sheetName val="FR5(SC&amp;Lift)"/>
      <sheetName val="UF2"/>
      <sheetName val="UF3"/>
      <sheetName val="Pile"/>
      <sheetName val="Infra"/>
      <sheetName val="Infra2"/>
      <sheetName val="FR2a"/>
      <sheetName val="H.Satuan"/>
      <sheetName val="DAF-1"/>
      <sheetName val="Bill No.1"/>
      <sheetName val="Rekap Direct Cost"/>
      <sheetName val="HARSA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</sheetDataSet>
  </externalBook>
</externalLink>
</file>

<file path=xl/externalLinks/externalLink7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"/>
      <sheetName val="TOTAL"/>
      <sheetName val="PRELIM"/>
      <sheetName val="TOWN"/>
      <sheetName val="BQ-TAMBAHAN"/>
      <sheetName val="INPUT"/>
      <sheetName val="Cover Daf_2"/>
      <sheetName val="Material"/>
      <sheetName val="Bill No.1"/>
      <sheetName val="ELEKTRIKAL"/>
      <sheetName val="SAT-DAS"/>
      <sheetName val="HARSAT"/>
      <sheetName val="DAF-1"/>
      <sheetName val="OUT"/>
      <sheetName val="CAT_HAR"/>
      <sheetName val="Cover Daf-2"/>
      <sheetName val="DAF-2"/>
      <sheetName val="ALAT"/>
      <sheetName val="H.Satuan"/>
      <sheetName val="Analisa"/>
      <sheetName val="rINCIAN"/>
      <sheetName val="AHSbj"/>
      <sheetName val="ANALISA TENDER"/>
      <sheetName val="Rekap"/>
      <sheetName val="Sheet1"/>
      <sheetName val="Agregat Halus &amp; Kasar"/>
      <sheetName val="Summary "/>
      <sheetName val="UPAH PEKERJA"/>
      <sheetName val="Rekap Biaya"/>
      <sheetName val="Infra"/>
      <sheetName val="Bill No 2.1 "/>
      <sheetName val="BAG_2"/>
      <sheetName val="Rekap Direct Cost"/>
      <sheetName val="STR"/>
      <sheetName val="harga"/>
      <sheetName val="SAP"/>
      <sheetName val="UPAHBAHAN"/>
      <sheetName val="Koefisien"/>
      <sheetName val="rab_analisa"/>
      <sheetName val="BAG-2"/>
      <sheetName val="mA THP III"/>
      <sheetName val="HargaDsrBhn"/>
      <sheetName val="SBDY"/>
      <sheetName val="NP"/>
      <sheetName val="1.REK"/>
      <sheetName val="Normalisasi"/>
      <sheetName val="Produksi "/>
      <sheetName val="DSU-2"/>
      <sheetName val="AHS Marka"/>
      <sheetName val="ANAL KOEF"/>
      <sheetName val="SCHEDULE"/>
      <sheetName val="Sumber Daya"/>
      <sheetName val="BL"/>
      <sheetName val="rab me (by owner) "/>
      <sheetName val="BQ (by owner)"/>
      <sheetName val="rab me (fisik)"/>
      <sheetName val="H_Satuan"/>
      <sheetName val="Tataudara"/>
      <sheetName val="Price Biaya Cadangan"/>
      <sheetName val="BQ_Rekapitulasi  Akhir"/>
      <sheetName val="Harsat_El"/>
      <sheetName val="Sales"/>
      <sheetName val="Cover"/>
      <sheetName val="STR(CANCEL)"/>
      <sheetName val="BQ.Rekapitulasi  Akhir"/>
      <sheetName val="Bill No_1"/>
      <sheetName val="rekap-analis"/>
      <sheetName val="fill in first"/>
      <sheetName val="Form-3.3"/>
      <sheetName val="formminat"/>
      <sheetName val="B"/>
      <sheetName val="ANL-PEK"/>
      <sheetName val="2.1"/>
      <sheetName val="2.2"/>
      <sheetName val="ANALISA-1"/>
      <sheetName val="DAPRO"/>
      <sheetName val="DAFTAR ISI"/>
      <sheetName val="AC"/>
      <sheetName val="BQ ARS"/>
      <sheetName val="Monitor"/>
      <sheetName val="ANALISA PEK.UMUM"/>
      <sheetName val="HARGA MATERIAL"/>
      <sheetName val="daf-3(OK)"/>
      <sheetName val="daf-7(OK)"/>
      <sheetName val="Bahan"/>
      <sheetName val="#REF!"/>
      <sheetName val="FINISHING"/>
      <sheetName val="div10"/>
      <sheetName val="boq"/>
      <sheetName val="REF.ONLY"/>
      <sheetName val="A"/>
      <sheetName val="ENG-101"/>
      <sheetName val="BQ"/>
      <sheetName val="Upah"/>
      <sheetName val="000000"/>
      <sheetName val="Rekap-Bdg"/>
      <sheetName val="토공사B동추가"/>
      <sheetName val="BQ-1A"/>
      <sheetName val="ARSITEKTUR"/>
      <sheetName val="RKP.ANL"/>
      <sheetName val="DKH"/>
      <sheetName val="DAF_2"/>
      <sheetName val="Upah_Bahan"/>
      <sheetName val="D2.2"/>
      <sheetName val="Daf 1 Prelim"/>
      <sheetName val="rumus"/>
      <sheetName val="Mall"/>
      <sheetName val="index"/>
      <sheetName val="Daf 1"/>
      <sheetName val="ANAL"/>
      <sheetName val="Unit Price"/>
      <sheetName val="LISA MOB"/>
      <sheetName val="RAB"/>
      <sheetName val="PERFORMANCE PROYEK (2)"/>
      <sheetName val="Petunjuk Ngisi (2)"/>
      <sheetName val="rincian per proyek"/>
      <sheetName val="CH"/>
      <sheetName val="Volume"/>
      <sheetName val="Basic Price"/>
      <sheetName val="RAB (OK)"/>
      <sheetName val="Analisa STR"/>
      <sheetName val="Produksi_"/>
      <sheetName val="1_REK"/>
      <sheetName val="AHS_Marka"/>
      <sheetName val="ANAL_KOEF"/>
      <sheetName val="SP16"/>
      <sheetName val="bhn-upah"/>
      <sheetName val="baladewa"/>
      <sheetName val="KH-Q1,Q2,01"/>
      <sheetName val="Perm. Test"/>
      <sheetName val="I-KAMAR"/>
      <sheetName val="I_KAMAR"/>
      <sheetName val="Bill No. 2 - Carpark"/>
      <sheetName val="Weight Bridge"/>
      <sheetName val="DAF_1"/>
      <sheetName val="Inst.penerangan."/>
      <sheetName val="Anls Teknis"/>
      <sheetName val="RENTAL1"/>
      <sheetName val="RAB_R. DNS. PENGLL T.54 (11.C.)"/>
      <sheetName val="RAB_R. DNS. PENGLL T.70_(12.A.)"/>
      <sheetName val="RAB_R. DNS. PENGLL T.70_(12.B.)"/>
      <sheetName val="RAB_R. DNS. PENGLL T.70_(12.C.)"/>
      <sheetName val="RAB_SPORT CLUB_(14)"/>
      <sheetName val="RAB_MASJID &amp; T.WUDLU_(15)"/>
      <sheetName val="RAB_LOUNDRY &amp; WORKSHOP_(16)"/>
      <sheetName val="RAB_MINIMARKET &amp; KANTIN_(17.)"/>
      <sheetName val="RAB_RMH. PENJAGA_(18)"/>
      <sheetName val="RAB_POS JAGA_(19. A.)"/>
      <sheetName val="RAB_POS JAGA_(19. B.)"/>
      <sheetName val="RAB_R. POMPA_(20)"/>
      <sheetName val="RAB_GARASI_(21)"/>
      <sheetName val="RAB_POLIKLINIK_(22)"/>
      <sheetName val="RAB_R. KELAS_(2.A)"/>
      <sheetName val="RAB_R. KELAS_(2.B)"/>
      <sheetName val="RAB_AULA SEDANG_(6)"/>
      <sheetName val="RAB_ASRAMA_(7. B.)"/>
      <sheetName val="RAB_ASRAMA_(7. C.)"/>
      <sheetName val="RAB_ASRAMA_(7. D.)"/>
      <sheetName val="RAB_R. MAKAN_(8)"/>
      <sheetName val="RAB_GUEST HOUSE_(9. A.)"/>
      <sheetName val="RAB_GUEST HOUSE_(9. B.)"/>
      <sheetName val="8LT 12"/>
      <sheetName val="Isolasi Luar Dalam"/>
      <sheetName val="Isolasi Luar"/>
      <sheetName val="112-885"/>
      <sheetName val="BQ-Str"/>
      <sheetName val="DK&amp;H"/>
      <sheetName val="chitimc"/>
      <sheetName val="Terbilang"/>
      <sheetName val="H_Bahan"/>
      <sheetName val="ACT-PRELIM"/>
      <sheetName val="STR_CANCEL_"/>
      <sheetName val="COST"/>
      <sheetName val="Pipe"/>
      <sheetName val="BQ-R2"/>
      <sheetName val="Bab.No.4.1 STR"/>
      <sheetName val="Bab.No.4.2 ARSITEK"/>
      <sheetName val="Bab.No.4.3 PLUMBING"/>
      <sheetName val="Bab.No.4.4-Pek.Tambh.Krg."/>
      <sheetName val="Rinc.Ged.A (G.Utama)"/>
      <sheetName val="sort2"/>
      <sheetName val="Plumbing"/>
      <sheetName val="H-Bahan &amp; Tenaga"/>
      <sheetName val="Tabe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</sheetDataSet>
  </externalBook>
</externalLink>
</file>

<file path=xl/externalLinks/externalLink7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nits"/>
      <sheetName val="Dr WW Sch"/>
      <sheetName val="Dr WW Meas"/>
      <sheetName val="Sheet1"/>
      <sheetName val="110 cs EW"/>
      <sheetName val="110 clay EW"/>
      <sheetName val="110 cs NW"/>
      <sheetName val="110 clay NW"/>
      <sheetName val="Sheet2"/>
      <sheetName val="FF"/>
      <sheetName val="DAF-2"/>
      <sheetName val="name"/>
      <sheetName val="Sloof"/>
      <sheetName val="BQ All-2"/>
      <sheetName val="DAF_2"/>
      <sheetName val="BQ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7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teel (0)"/>
      <sheetName val="Conn. Lib"/>
    </sheetNames>
    <sheetDataSet>
      <sheetData sheetId="0" refreshError="1"/>
      <sheetData sheetId="1" refreshError="1"/>
    </sheetDataSet>
  </externalBook>
</externalLink>
</file>

<file path=xl/externalLinks/externalLink7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-12 FC (2)"/>
      <sheetName val="A-12 FC"/>
      <sheetName val="A-12"/>
      <sheetName val="A-12 Arch"/>
      <sheetName val="Rumus Segi banyak"/>
    </sheetNames>
    <sheetDataSet>
      <sheetData sheetId="0"/>
      <sheetData sheetId="1"/>
      <sheetData sheetId="2"/>
      <sheetData sheetId="3"/>
      <sheetData sheetId="4"/>
    </sheetDataSet>
  </externalBook>
</externalLink>
</file>

<file path=xl/externalLinks/externalLink7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KH-Q1,Q2,01"/>
      <sheetName val="BCCTQT-XLD4"/>
      <sheetName val="BCQT-TTD1"/>
      <sheetName val="CT-chuacoDT"/>
      <sheetName val="Sheet5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17"/>
      <sheetName val="Sheet18"/>
      <sheetName val="Sheet19"/>
      <sheetName val="Sheet20"/>
      <sheetName val="XL4Poppy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</sheetDataSet>
  </externalBook>
</externalLink>
</file>

<file path=xl/externalLinks/externalLink7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Prel Bdn"/>
      <sheetName val="Prel"/>
      <sheetName val="Bldg"/>
      <sheetName val="Sheet1"/>
      <sheetName val="WB"/>
      <sheetName val="WB2"/>
      <sheetName val="FR2"/>
      <sheetName val="FR3(Col)"/>
      <sheetName val="FR4(Bm)"/>
      <sheetName val="FR5(SC&amp;Lift)"/>
      <sheetName val="UF2"/>
      <sheetName val="UF3"/>
      <sheetName val="Pile"/>
      <sheetName val="Infra"/>
      <sheetName val="Infra2"/>
      <sheetName val="DR2"/>
      <sheetName val="EXT2"/>
      <sheetName val="FR2a"/>
      <sheetName val="FF2"/>
      <sheetName val="EF2"/>
      <sheetName val="IF2"/>
      <sheetName val="CF2"/>
      <sheetName val="RC2"/>
      <sheetName val="RC3"/>
      <sheetName val="RFF2"/>
      <sheetName val="EW2"/>
      <sheetName val="IW2"/>
      <sheetName val="SF"/>
      <sheetName val="EL2"/>
      <sheetName val="BULK CHECK"/>
      <sheetName val="FS"/>
      <sheetName val="KH-Q1,Q2,01"/>
      <sheetName val="BQ"/>
      <sheetName val="daftar harsat"/>
      <sheetName val="daffin"/>
      <sheetName val="fas"/>
      <sheetName val="typ 10_25"/>
      <sheetName val="ph26"/>
      <sheetName val="ph27"/>
      <sheetName val="kor_un"/>
      <sheetName val="kor"/>
      <sheetName val="CV"/>
      <sheetName val="IND LBR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</sheetDataSet>
  </externalBook>
</externalLink>
</file>

<file path=xl/externalLinks/externalLink7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000"/>
      <sheetName val="1000"/>
      <sheetName val="ELEKTRIKAL"/>
      <sheetName val="REKAP"/>
      <sheetName val="AC"/>
      <sheetName val="Plumbing"/>
      <sheetName val="Dafmat"/>
      <sheetName val="Pompa"/>
      <sheetName val="Ven Fan"/>
      <sheetName val="Ana Duct"/>
      <sheetName val="Hsd Duct"/>
      <sheetName val="Pipe"/>
      <sheetName val="Grille"/>
      <sheetName val="valve-20k"/>
      <sheetName val="valve-10k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7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k-fbhk"/>
      <sheetName val="rek-fitAB"/>
      <sheetName val="rek-hbk"/>
      <sheetName val="rek-val"/>
      <sheetName val="bq-kt"/>
      <sheetName val="bq-ktsa"/>
      <sheetName val="bq-ktf"/>
      <sheetName val="bq-kthk"/>
      <sheetName val="bq-ktc"/>
      <sheetName val="bq-kth"/>
      <sheetName val="bq-ktv"/>
      <sheetName val="rek-san1"/>
      <sheetName val="rek-hot"/>
      <sheetName val="rek-fitPP "/>
      <sheetName val="A"/>
      <sheetName val="Pipe"/>
      <sheetName val="valve"/>
      <sheetName val="Dafmat"/>
      <sheetName val="Fitting"/>
      <sheetName val="bq-p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7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nalis ME"/>
      <sheetName val="ANALISA ME"/>
      <sheetName val="Analis Upah Beton , UPAH RIIL "/>
      <sheetName val="Material RIIL"/>
      <sheetName val="AnalisaSIPIL RIIL"/>
      <sheetName val="REKAP BAHAN &amp; UPAH RIIL "/>
      <sheetName val="REKAP TOTAL"/>
      <sheetName val="TERMINAL UNIT 1"/>
      <sheetName val="TERMINAL UNIT 2"/>
      <sheetName val="MENARA PANTAU"/>
      <sheetName val="POS JAGA"/>
      <sheetName val="DEPO"/>
      <sheetName val="LANDSCP"/>
      <sheetName val="DNDNG PENAHAN"/>
      <sheetName val="ME"/>
      <sheetName val="PLAMBNG"/>
      <sheetName val="HRG BAHAN &amp; UPAH okk"/>
      <sheetName val="Analis Kusen okk"/>
      <sheetName val="Analis_ME"/>
      <sheetName val="ANALISA_ME"/>
      <sheetName val="Analis_Upah_Beton_,_UPAH_RIIL_"/>
      <sheetName val="Material_RIIL"/>
      <sheetName val="AnalisaSIPIL_RIIL"/>
      <sheetName val="REKAP_BAHAN_&amp;_UPAH_RIIL_"/>
      <sheetName val="REKAP_TOTAL"/>
      <sheetName val="TERMINAL_UNIT_1"/>
      <sheetName val="TERMINAL_UNIT_2"/>
      <sheetName val="MENARA_PANTAU"/>
      <sheetName val="POS_JAGA"/>
      <sheetName val="DNDNG_PENAHAN"/>
      <sheetName val="HRG_BAHAN_&amp;_UPAH_okk"/>
      <sheetName val="Analis_Kusen_okk"/>
      <sheetName val="PEMBESIAN BALOK tukang (2)"/>
      <sheetName val="A"/>
      <sheetName val="DAF-2"/>
      <sheetName val="Estimate"/>
      <sheetName val="ANALISA railing"/>
      <sheetName val="AnalisaSIPIL RIIL RAP"/>
      <sheetName val="FAKTOR"/>
      <sheetName val="Elektrikal"/>
      <sheetName val="Listrik"/>
      <sheetName val="Analisa SNI STANDART "/>
      <sheetName val="PLUMBING"/>
      <sheetName val="BoQ"/>
      <sheetName val="Konfirm"/>
      <sheetName val="Indirect_Const"/>
      <sheetName val="Cover"/>
      <sheetName val="Analis_ME1"/>
      <sheetName val="ANALISA_ME1"/>
      <sheetName val="Analis_Upah_Beton_,_UPAH_RIIL_1"/>
      <sheetName val="Material_RIIL1"/>
      <sheetName val="AnalisaSIPIL_RIIL1"/>
      <sheetName val="REKAP_BAHAN_&amp;_UPAH_RIIL_1"/>
      <sheetName val="REKAP_TOTAL1"/>
      <sheetName val="TERMINAL_UNIT_11"/>
      <sheetName val="TERMINAL_UNIT_21"/>
      <sheetName val="MENARA_PANTAU1"/>
      <sheetName val="POS_JAGA1"/>
      <sheetName val="DNDNG_PENAHAN1"/>
      <sheetName val="HRG_BAHAN_&amp;_UPAH_okk1"/>
      <sheetName val="Analis_Kusen_okk1"/>
      <sheetName val="struktur tdk dipakai"/>
      <sheetName val="Fill this out first___"/>
      <sheetName val="Harsat Bahan"/>
      <sheetName val="Daf.Harga-Upah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RT"/>
      <sheetName val="ESCON"/>
      <sheetName val="SCOPE"/>
      <sheetName val="MAKER"/>
      <sheetName val="BQ"/>
      <sheetName val="PROFIT"/>
      <sheetName val="SUM-PRO"/>
      <sheetName val="SEX"/>
      <sheetName val="HVAC"/>
      <sheetName val="DBP-0200"/>
      <sheetName val="spect"/>
      <sheetName val="_BQ-FORM.xl턐ワ"/>
      <sheetName val="_BQ-FORM.xl_x0006_"/>
      <sheetName val="RAB AR&amp;STR"/>
      <sheetName val="B - Norelec"/>
      <sheetName val="_BQ-FORM.xl턐ワ___"/>
      <sheetName val="_BQ-FORM.xl_x0006__۸ݼ࢈"/>
      <sheetName val="I-KAMAR"/>
      <sheetName val="AC"/>
      <sheetName val="_BQ-FORM.xl턐ワ_x005f_x0000__x005f_x0000__x00"/>
      <sheetName val="_BQ-FORM.xl_x005f_x0006__x005f_x0000_۸ݼ࢈"/>
      <sheetName val="Analisa"/>
      <sheetName val="_BQ-FORM_xl턐ワ"/>
      <sheetName val="_BQ-FORM_xl۸ݼ࢈"/>
      <sheetName val="RAB_AR&amp;STR"/>
      <sheetName val="B_-_Norelec"/>
      <sheetName val="_BQ-FORM_xl턐ワ___"/>
      <sheetName val="_BQ-FORM_xl_۸ݼ࢈"/>
      <sheetName val="_BQ-FORM_xl"/>
      <sheetName val="_BQ-FORM.xl__"/>
      <sheetName val="_BQ-FORM.xl_____"/>
      <sheetName val="_BQ-FORM.xl_x0006_____"/>
      <sheetName val="-FORM.xl___x005f_x0000__x005f_x0000__x005f_x0000_"/>
      <sheetName val="_BQ-FORM.xl_x005f_x0006__x005f_x0000____"/>
      <sheetName val="_BQ-FORM.xl_x005f_x0006__۸ݼ࢈"/>
      <sheetName val="_BQ-FORM.xl_x005f_x0006_"/>
      <sheetName val="Cover Daf-2"/>
      <sheetName val="Pipe"/>
      <sheetName val="hardas"/>
      <sheetName val="DSBDY"/>
      <sheetName val="_BQ-FORM.xl___x005f_x0000__x005f_x0000__x00"/>
      <sheetName val="_BQ-FORM.xl_x005f_x0006_____"/>
      <sheetName val="_BQ-FORM_xl__"/>
      <sheetName val="_BQ-FORM_xl___"/>
      <sheetName val="_BQ-FORM_xl_____"/>
      <sheetName val="_BQ-FORM_xl____"/>
      <sheetName val="_BQ-FORM.xl턐ワ_帐ᾚ"/>
      <sheetName val="_BQ-FORM.xl_x0006__Ổ__"/>
      <sheetName val="A"/>
      <sheetName val="str-Rab"/>
      <sheetName val="概総括1"/>
      <sheetName val="Cash Flow bulanan"/>
      <sheetName val="EE-PROP"/>
      <sheetName val="_BQ-FORM.xl턐ワ_"/>
      <sheetName val="RAB_AR&amp;STR1"/>
      <sheetName val="B_-_Norelec1"/>
      <sheetName val="_BQ-FORM_xl턐ワ___1"/>
      <sheetName val="_BQ-FORM_xl턐ワ1"/>
      <sheetName val="JAD-PEL"/>
      <sheetName val="H.Satuan"/>
      <sheetName val="PROCURE"/>
      <sheetName val="___1"/>
      <sheetName val="_BQ-FORM.xl턐ワ_x005f_x005f_x005f_x0000__x005"/>
      <sheetName val="_BQ-FORM.xl_x005f_x005f_x005f_x0006__x005f_x005f_"/>
      <sheetName val="-FORM.xl___x005f_x005f_x005f_x0000__x005f_x005f_x"/>
      <sheetName val="_BQ-FORM.xl_x005f_x005f_x005f_x0006__۸ݼ࢈"/>
      <sheetName val="_BQ-FORM.xl_x005f_x005f_x005f_x0006_"/>
      <sheetName val="AnalisaSIPIL RIIL"/>
      <sheetName val="OP. ALAT"/>
      <sheetName val="OP. PERJAM"/>
      <sheetName val="B. PERSONIL"/>
      <sheetName val="KAN. LOKAL"/>
      <sheetName val="Perm. Test"/>
      <sheetName val="_BQ-FORM_xl_____1"/>
      <sheetName val="_BQ-FORM_xl__1"/>
      <sheetName val="_BQ-FORM.xl___"/>
      <sheetName val="BoQ"/>
      <sheetName val="BAG-2"/>
      <sheetName val="RAB"/>
      <sheetName val="Rincian"/>
      <sheetName val="_BQ-FORM.xl___x005f_x005f_x005f_x0000__x005"/>
      <sheetName val="_BQ-FORM.xl_x005f_x005f_x005f_x0006_____"/>
      <sheetName val="_BQ-FORM.xl_x005f_x0006__Ổ__"/>
      <sheetName val="BQ ARS"/>
      <sheetName val="_BQ-FORM.xl턐ワ_x005f_x0000_帐ᾚ"/>
      <sheetName val="_BQ-FORM.xl_x005f_x0006__x005f_x0000_Ổ_x000"/>
      <sheetName val="_BQ-FORM.xl___x005f_x0000___"/>
      <sheetName val="_BQ-FORM.xl_x005f_x0006__x005f_x0000___x000"/>
      <sheetName val="HSD"/>
      <sheetName val="RAB-SPL2"/>
      <sheetName val="Du_lieu"/>
      <sheetName val="Met_Pas Batu"/>
      <sheetName val="Met_ Minor"/>
      <sheetName val="__x005f_x005f_x005f_x0000__x005f_x005f_x005f_x0000__x00"/>
      <sheetName val="xl_x005f_x005f_x005f_x0006__x005f_x005f_x005f_x0000____"/>
      <sheetName val="0000__x005f_x005f_x005f_x0000__x005f_x005f_x005f_x0000_"/>
      <sheetName val="Rekap Addendum"/>
      <sheetName val="Rekapitulasi"/>
      <sheetName val="Estimate"/>
      <sheetName val="_BQ-FORM.xl턐ワ_x005f_x0000_"/>
      <sheetName val="_BQ-FORM.xl턐ワ_x005f_x005f_x005f_x005f_x005f"/>
      <sheetName val="_BQ-FORM.xl_x005f_x005f_x005f_x005f_x005f_x005f_x"/>
      <sheetName val="_BQ-FORM.xl___x005f_x0000_"/>
      <sheetName val="-FORM.xl___x005f_x005f_x005f_x005f_x005f_x005f_x0"/>
      <sheetName val="_BQ-FORM.xl___x005f_x005f_x005f_x005f_x005f"/>
      <sheetName val="_BQ-FORM.xl_x005f_x005f_x005f_x0006__Ổ__"/>
      <sheetName val="_BQ-FORM.xl턐ワ_x005f_x005f_x005f_x0000_帐ᾚ"/>
      <sheetName val="_BQ-FORM.xl___x005f_x005f_x005f_x0000___"/>
      <sheetName val="SAT-BHN"/>
      <sheetName val="SAP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</sheetDataSet>
  </externalBook>
</externalLink>
</file>

<file path=xl/externalLinks/externalLink8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sheetDataSet>
      <sheetData sheetId="0">
        <row r="3">
          <cell r="B3" t="str">
            <v xml:space="preserve">Pembersihan awal dan Selama Proyek Berjalan </v>
          </cell>
          <cell r="D3">
            <v>1000000</v>
          </cell>
        </row>
        <row r="4">
          <cell r="B4" t="str">
            <v>Pembersihan akhir sampah dll</v>
          </cell>
          <cell r="D4">
            <v>1000000</v>
          </cell>
        </row>
        <row r="5">
          <cell r="B5" t="str">
            <v>Survey</v>
          </cell>
          <cell r="D5">
            <v>2000000</v>
          </cell>
        </row>
        <row r="6">
          <cell r="B6" t="str">
            <v>Pembuatan gambar teknis</v>
          </cell>
          <cell r="D6">
            <v>1000000</v>
          </cell>
        </row>
        <row r="8">
          <cell r="B8" t="str">
            <v> Kabel UTP</v>
          </cell>
          <cell r="D8">
            <v>2000000</v>
          </cell>
        </row>
        <row r="9">
          <cell r="B9" t="str">
            <v>Konektor RJ-45</v>
          </cell>
          <cell r="D9">
            <v>1500000</v>
          </cell>
        </row>
        <row r="10">
          <cell r="B10" t="str">
            <v>Kartu Jaringan (LAN Card)</v>
          </cell>
          <cell r="D10">
            <v>1500000</v>
          </cell>
        </row>
        <row r="11">
          <cell r="B11" t="str">
            <v>Switch / Hub Managable</v>
          </cell>
          <cell r="D11">
            <v>10000000</v>
          </cell>
        </row>
        <row r="12">
          <cell r="B12" t="str">
            <v>Alat dukung</v>
          </cell>
          <cell r="D12">
            <v>500000</v>
          </cell>
        </row>
        <row r="14">
          <cell r="B14" t="str">
            <v>Cctv indoor</v>
          </cell>
          <cell r="D14">
            <v>3500000</v>
          </cell>
        </row>
        <row r="15">
          <cell r="B15" t="str">
            <v>Cctv outdoor</v>
          </cell>
          <cell r="D15">
            <v>3500000</v>
          </cell>
        </row>
        <row r="16">
          <cell r="B16" t="str">
            <v>DVR</v>
          </cell>
          <cell r="D16">
            <v>5000000</v>
          </cell>
        </row>
        <row r="17">
          <cell r="B17" t="str">
            <v>Adapter dan Power Supply.</v>
          </cell>
          <cell r="D17">
            <v>900000</v>
          </cell>
        </row>
        <row r="18">
          <cell r="B18" t="str">
            <v>Kabel Power.</v>
          </cell>
          <cell r="D18">
            <v>1000000</v>
          </cell>
        </row>
        <row r="19">
          <cell r="B19" t="str">
            <v>Crimp Kabel.</v>
          </cell>
          <cell r="D19">
            <v>2000000</v>
          </cell>
        </row>
        <row r="20">
          <cell r="B20" t="str">
            <v>Kabel Coaxial.</v>
          </cell>
          <cell r="D20">
            <v>3500000</v>
          </cell>
        </row>
        <row r="21">
          <cell r="B21" t="str">
            <v>Konektor RF.</v>
          </cell>
          <cell r="D21">
            <v>1000000</v>
          </cell>
        </row>
        <row r="23">
          <cell r="B23" t="str">
            <v>Acess Point</v>
          </cell>
          <cell r="D23">
            <v>8500000</v>
          </cell>
        </row>
        <row r="24">
          <cell r="B24" t="str">
            <v>Antena Omni</v>
          </cell>
          <cell r="D24">
            <v>10000000</v>
          </cell>
        </row>
        <row r="25">
          <cell r="B25" t="str">
            <v>Kabel Pigtail/Kabel Jumper</v>
          </cell>
          <cell r="D25">
            <v>500000</v>
          </cell>
        </row>
        <row r="26">
          <cell r="B26" t="str">
            <v>POE (Power Over Ethernet)</v>
          </cell>
          <cell r="D26">
            <v>2000000</v>
          </cell>
        </row>
        <row r="27">
          <cell r="B27" t="str">
            <v>Kabel UTP/STP</v>
          </cell>
          <cell r="D27">
            <v>3000000</v>
          </cell>
        </row>
        <row r="28">
          <cell r="B28" t="str">
            <v>Penangkal Petir (Lightning Arrester)</v>
          </cell>
          <cell r="D28">
            <v>3000000</v>
          </cell>
        </row>
        <row r="30">
          <cell r="B30" t="str">
            <v>Kabel Telepon outdoor</v>
          </cell>
          <cell r="D30">
            <v>4500000</v>
          </cell>
        </row>
        <row r="31">
          <cell r="B31" t="str">
            <v>Kabel Telepon Indoor</v>
          </cell>
          <cell r="D31">
            <v>4000000</v>
          </cell>
        </row>
        <row r="32">
          <cell r="B32" t="str">
            <v>Box Telepon Konektor</v>
          </cell>
          <cell r="D32">
            <v>6500000</v>
          </cell>
        </row>
        <row r="33">
          <cell r="B33" t="str">
            <v>Kabel Protection ( Ugreen Cable Zipper Protection )</v>
          </cell>
          <cell r="D33">
            <v>200000</v>
          </cell>
        </row>
        <row r="34">
          <cell r="B34" t="str">
            <v>Paku Klem</v>
          </cell>
          <cell r="D34">
            <v>500000</v>
          </cell>
        </row>
        <row r="35">
          <cell r="B35" t="str">
            <v>Peralatan kerja pabx</v>
          </cell>
          <cell r="D35">
            <v>2000000</v>
          </cell>
        </row>
        <row r="37">
          <cell r="B37" t="str">
            <v>Rumah Kabel</v>
          </cell>
          <cell r="D37">
            <v>1500000</v>
          </cell>
        </row>
        <row r="38">
          <cell r="B38" t="str">
            <v>paku-paku &amp; Klem</v>
          </cell>
          <cell r="D38">
            <v>2000000</v>
          </cell>
        </row>
      </sheetData>
    </sheetDataSet>
  </externalBook>
</externalLink>
</file>

<file path=xl/externalLinks/externalLink8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RS123"/>
      <sheetName val="ARS127a"/>
      <sheetName val=" RAB"/>
      <sheetName val="BQToilet30"/>
      <sheetName val="BQtOILET34"/>
      <sheetName val="BQDamkar"/>
      <sheetName val="BQTungguBis"/>
      <sheetName val="BQTitikPandang"/>
      <sheetName val="TPS ARS124"/>
      <sheetName val="Gardu ARS126"/>
      <sheetName val="IPAL ARS123"/>
      <sheetName val="ARS 114toilet30m2"/>
      <sheetName val="TOILETARS115 t 34"/>
      <sheetName val="ARS121Damkar"/>
      <sheetName val="ARS 122 RSUPIR BIS"/>
      <sheetName val="ARS127a VIEWINGDECK"/>
    </sheetNames>
    <sheetDataSet>
      <sheetData sheetId="0"/>
      <sheetData sheetId="1"/>
      <sheetData sheetId="2">
        <row r="98">
          <cell r="G98">
            <v>887500</v>
          </cell>
        </row>
        <row r="121">
          <cell r="N121">
            <v>564630</v>
          </cell>
        </row>
        <row r="226">
          <cell r="G226">
            <v>147200</v>
          </cell>
        </row>
        <row r="254">
          <cell r="H254">
            <v>2597000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externalLinks/externalLink8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RS 110 (2)"/>
      <sheetName val="UPAH"/>
      <sheetName val="analisa ARS 107CAPE 200"/>
      <sheetName val="  ARS 105"/>
      <sheetName val="  ARS109"/>
      <sheetName val="ARS 103  400"/>
      <sheetName val="ARS 111 "/>
      <sheetName val="ARS 110"/>
      <sheetName val="An Pusat Keamanan"/>
      <sheetName val="BENGKEL KOMODO"/>
      <sheetName val=" RAB"/>
      <sheetName val="ARS 107RESTO 200"/>
      <sheetName val="ARS 105Resto300"/>
      <sheetName val="CAFE ARS 109 "/>
      <sheetName val="ARS 103Resto400"/>
      <sheetName val="ARS 111KIOS"/>
      <sheetName val="ARS 110 mesjid"/>
      <sheetName val="BQPustKeamanan"/>
      <sheetName val="ARS 117BENGKEL"/>
      <sheetName val="Sheet1"/>
      <sheetName val=" ARS 118 "/>
      <sheetName val="ARS 107CAPE 200"/>
      <sheetName val="ARS 109 "/>
    </sheetNames>
    <sheetDataSet>
      <sheetData sheetId="0"/>
      <sheetData sheetId="1"/>
      <sheetData sheetId="2">
        <row r="7">
          <cell r="E7">
            <v>64</v>
          </cell>
        </row>
      </sheetData>
      <sheetData sheetId="3"/>
      <sheetData sheetId="4"/>
      <sheetData sheetId="5"/>
      <sheetData sheetId="6"/>
      <sheetData sheetId="7"/>
      <sheetData sheetId="8">
        <row r="22">
          <cell r="D22">
            <v>38</v>
          </cell>
          <cell r="F22">
            <v>0.6</v>
          </cell>
          <cell r="G22">
            <v>13.68</v>
          </cell>
        </row>
        <row r="23">
          <cell r="G23">
            <v>9.1199999999999992</v>
          </cell>
        </row>
        <row r="24">
          <cell r="G24">
            <v>1.1399999999999999</v>
          </cell>
        </row>
        <row r="25">
          <cell r="H25">
            <v>0.94499999999999995</v>
          </cell>
        </row>
        <row r="38">
          <cell r="I38">
            <v>83.399999999999991</v>
          </cell>
        </row>
      </sheetData>
      <sheetData sheetId="9"/>
      <sheetData sheetId="10">
        <row r="13">
          <cell r="F13">
            <v>310000</v>
          </cell>
        </row>
        <row r="85">
          <cell r="L85">
            <v>497200</v>
          </cell>
        </row>
        <row r="113">
          <cell r="N113">
            <v>299970</v>
          </cell>
        </row>
        <row r="245">
          <cell r="G245">
            <v>813980</v>
          </cell>
        </row>
      </sheetData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</sheetDataSet>
  </externalBook>
</externalLink>
</file>

<file path=xl/externalLinks/externalLink8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RS 128 "/>
      <sheetName val="PSTINFORM"/>
      <sheetName val="ARS317"/>
      <sheetName val="ARS 120"/>
      <sheetName val="ARS 101Resto 1000"/>
      <sheetName val="ARS 127"/>
      <sheetName val=" RAB"/>
      <sheetName val="BQ2Pst inform"/>
      <sheetName val="SumBQPOSPOL"/>
      <sheetName val="BQPospol"/>
      <sheetName val="SumResto1000"/>
      <sheetName val="BQResto1000"/>
      <sheetName val="SumkLINIK"/>
      <sheetName val="BQKlinik"/>
      <sheetName val="SumSaungM"/>
      <sheetName val="BQSaungmakan"/>
      <sheetName val="SumJembPdg"/>
      <sheetName val="BQJembatanpandang"/>
      <sheetName val="SumbqPosjaga"/>
      <sheetName val="BQPosjaga"/>
    </sheetNames>
    <sheetDataSet>
      <sheetData sheetId="0" refreshError="1"/>
      <sheetData sheetId="1" refreshError="1"/>
      <sheetData sheetId="2" refreshError="1"/>
      <sheetData sheetId="3" refreshError="1">
        <row r="5">
          <cell r="I5">
            <v>68.8</v>
          </cell>
        </row>
        <row r="7">
          <cell r="E7">
            <v>24.08</v>
          </cell>
        </row>
        <row r="21">
          <cell r="E21">
            <v>193.82</v>
          </cell>
        </row>
        <row r="22">
          <cell r="E22">
            <v>26.199999999999996</v>
          </cell>
        </row>
      </sheetData>
      <sheetData sheetId="4" refreshError="1"/>
      <sheetData sheetId="5" refreshError="1">
        <row r="33">
          <cell r="L33">
            <v>6336639.3034541272</v>
          </cell>
        </row>
        <row r="41">
          <cell r="L41">
            <v>6729896.5962094553</v>
          </cell>
        </row>
        <row r="53">
          <cell r="E53">
            <v>2142075</v>
          </cell>
        </row>
        <row r="63">
          <cell r="E63">
            <v>5331420</v>
          </cell>
        </row>
        <row r="96">
          <cell r="F96">
            <v>1752.6666666666665</v>
          </cell>
        </row>
        <row r="100">
          <cell r="F100">
            <v>15590.416666666666</v>
          </cell>
        </row>
        <row r="104">
          <cell r="F104">
            <v>669.19999999999993</v>
          </cell>
        </row>
        <row r="114">
          <cell r="F114">
            <v>580.32607744107747</v>
          </cell>
        </row>
        <row r="122">
          <cell r="F122">
            <v>841.82607744107736</v>
          </cell>
        </row>
      </sheetData>
      <sheetData sheetId="6" refreshError="1">
        <row r="69">
          <cell r="N69">
            <v>247400</v>
          </cell>
        </row>
        <row r="98">
          <cell r="G98">
            <v>1002000</v>
          </cell>
        </row>
        <row r="204">
          <cell r="N204">
            <v>4694000</v>
          </cell>
        </row>
        <row r="213">
          <cell r="N213">
            <v>2856000</v>
          </cell>
        </row>
        <row r="270">
          <cell r="H270">
            <v>5154000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>
        <row r="21">
          <cell r="J21">
            <v>360000</v>
          </cell>
        </row>
      </sheetData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8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PAH"/>
      <sheetName val="analisa asrama 39"/>
      <sheetName val="analisa CAPE 200"/>
      <sheetName val=" RAB"/>
      <sheetName val="CAPE 200"/>
      <sheetName val="asrama 39"/>
      <sheetName val="analisa ARS 107CAPE 200"/>
      <sheetName val="analisa ARS 315 asrama 39"/>
      <sheetName val=" ARS 317 pos blok A"/>
      <sheetName val="  ARS109"/>
      <sheetName val="  ARS 105"/>
      <sheetName val="  ARS 305"/>
      <sheetName val="ARS 107CAPE 200"/>
      <sheetName val="ARS 315 asrama 39"/>
      <sheetName val="ARS 317pos blok A"/>
      <sheetName val="ARS 109 "/>
      <sheetName val="ARS 105"/>
      <sheetName val="ARS305"/>
    </sheetNames>
    <sheetDataSet>
      <sheetData sheetId="0"/>
      <sheetData sheetId="1"/>
      <sheetData sheetId="2"/>
      <sheetData sheetId="3">
        <row r="13">
          <cell r="F13">
            <v>310000</v>
          </cell>
        </row>
        <row r="98">
          <cell r="G98">
            <v>973500</v>
          </cell>
        </row>
        <row r="112">
          <cell r="G112">
            <v>136420</v>
          </cell>
        </row>
        <row r="134">
          <cell r="G134">
            <v>63438.571428571435</v>
          </cell>
        </row>
        <row r="139">
          <cell r="G139">
            <v>22880.000000000004</v>
          </cell>
        </row>
        <row r="191">
          <cell r="H191">
            <v>120900</v>
          </cell>
        </row>
        <row r="197">
          <cell r="H197">
            <v>141690</v>
          </cell>
        </row>
        <row r="203">
          <cell r="H203">
            <v>120900</v>
          </cell>
        </row>
        <row r="226">
          <cell r="G226">
            <v>122200</v>
          </cell>
        </row>
        <row r="378">
          <cell r="H378">
            <v>27010</v>
          </cell>
        </row>
      </sheetData>
      <sheetData sheetId="4"/>
      <sheetData sheetId="5"/>
      <sheetData sheetId="6">
        <row r="176">
          <cell r="J176">
            <v>215100</v>
          </cell>
        </row>
      </sheetData>
      <sheetData sheetId="7"/>
      <sheetData sheetId="8">
        <row r="28">
          <cell r="H28">
            <v>0.61875000000000002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externalLinks/externalLink8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RS 110 (2)"/>
      <sheetName val="UPAH"/>
      <sheetName val="analisa ARS 107CAPE 200"/>
      <sheetName val="  ARS 105"/>
      <sheetName val="  ARS109"/>
      <sheetName val="ARS 103  400"/>
      <sheetName val="ARS 111 "/>
      <sheetName val="ARS 110"/>
      <sheetName val=" ARS 118 "/>
      <sheetName val="BENGKEL KOMODO"/>
      <sheetName val=" RAB"/>
      <sheetName val="ARS 107CAPE 200"/>
      <sheetName val="ARS 105Resto300"/>
      <sheetName val="ARS 109 "/>
      <sheetName val="ARS 103Resto400"/>
      <sheetName val="ARS 111KIOS"/>
      <sheetName val="ARS 110 mesjid"/>
      <sheetName val="ARS 118"/>
      <sheetName val="ARS 117BENGKEL"/>
      <sheetName val="Sheet1"/>
    </sheetNames>
    <sheetDataSet>
      <sheetData sheetId="0"/>
      <sheetData sheetId="1"/>
      <sheetData sheetId="2">
        <row r="7">
          <cell r="E7">
            <v>64</v>
          </cell>
        </row>
      </sheetData>
      <sheetData sheetId="3"/>
      <sheetData sheetId="4"/>
      <sheetData sheetId="5"/>
      <sheetData sheetId="6"/>
      <sheetData sheetId="7"/>
      <sheetData sheetId="8">
        <row r="16">
          <cell r="O16">
            <v>5809144.444444444</v>
          </cell>
        </row>
      </sheetData>
      <sheetData sheetId="9"/>
      <sheetData sheetId="10">
        <row r="112">
          <cell r="G112">
            <v>163700</v>
          </cell>
        </row>
        <row r="243">
          <cell r="G243">
            <v>220000</v>
          </cell>
        </row>
      </sheetData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</sheetDataSet>
  </externalBook>
</externalLink>
</file>

<file path=xl/externalLinks/externalLink8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k SumBQ"/>
      <sheetName val="SUMBQ"/>
      <sheetName val="01BqUPPT"/>
      <sheetName val="02BqKaKebun"/>
      <sheetName val="03BqKabag"/>
      <sheetName val="04Bq Pos Jaga"/>
      <sheetName val="05TPS "/>
      <sheetName val="06UnitAB"/>
      <sheetName val="07Bq Gardupln"/>
      <sheetName val="An posjaga"/>
      <sheetName val="LIST"/>
      <sheetName val="UPPT"/>
      <sheetName val="ANuppt"/>
      <sheetName val="baja"/>
      <sheetName val="swimpoolTipe1"/>
      <sheetName val="Anrmkebun"/>
      <sheetName val="AnRumDin"/>
      <sheetName val="Angardu"/>
      <sheetName val="analisaUnitAB"/>
    </sheetNames>
    <sheetDataSet>
      <sheetData sheetId="0" refreshError="1"/>
      <sheetData sheetId="1" refreshError="1"/>
      <sheetData sheetId="2" refreshError="1"/>
      <sheetData sheetId="3" refreshError="1"/>
      <sheetData sheetId="4">
        <row r="18">
          <cell r="J18">
            <v>1000000</v>
          </cell>
        </row>
        <row r="23">
          <cell r="J23">
            <v>2000000</v>
          </cell>
        </row>
        <row r="27">
          <cell r="J27">
            <v>500000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>
        <row r="5">
          <cell r="J5">
            <v>17</v>
          </cell>
        </row>
        <row r="10">
          <cell r="J10">
            <v>10.199999999999999</v>
          </cell>
        </row>
        <row r="12">
          <cell r="J12">
            <v>37.649999999999991</v>
          </cell>
        </row>
        <row r="17">
          <cell r="J17">
            <v>14.960000000000003</v>
          </cell>
        </row>
        <row r="21">
          <cell r="J21">
            <v>1.02</v>
          </cell>
        </row>
        <row r="26">
          <cell r="J26">
            <v>1.40625</v>
          </cell>
        </row>
        <row r="29">
          <cell r="J29">
            <v>1.5749999999999997</v>
          </cell>
        </row>
        <row r="34">
          <cell r="J34">
            <v>9.6</v>
          </cell>
        </row>
        <row r="37">
          <cell r="J37">
            <v>0.21599999999999997</v>
          </cell>
        </row>
        <row r="40">
          <cell r="J40">
            <v>9.6</v>
          </cell>
        </row>
        <row r="44">
          <cell r="J44">
            <v>111.7</v>
          </cell>
        </row>
        <row r="51">
          <cell r="J51">
            <v>9</v>
          </cell>
        </row>
        <row r="55">
          <cell r="J55">
            <v>2.4000000000000004</v>
          </cell>
        </row>
        <row r="59">
          <cell r="J59">
            <v>223.4</v>
          </cell>
        </row>
        <row r="62">
          <cell r="J62">
            <v>9</v>
          </cell>
        </row>
        <row r="65">
          <cell r="J65">
            <v>223.4</v>
          </cell>
        </row>
        <row r="66">
          <cell r="J66">
            <v>9</v>
          </cell>
        </row>
        <row r="67">
          <cell r="J67">
            <v>80</v>
          </cell>
        </row>
        <row r="70">
          <cell r="J70">
            <v>1</v>
          </cell>
        </row>
        <row r="71">
          <cell r="J71">
            <v>1</v>
          </cell>
        </row>
        <row r="72">
          <cell r="J72">
            <v>1</v>
          </cell>
        </row>
      </sheetData>
      <sheetData sheetId="18">
        <row r="5">
          <cell r="J5">
            <v>94.5</v>
          </cell>
        </row>
        <row r="12">
          <cell r="J12">
            <v>1.8</v>
          </cell>
        </row>
        <row r="18">
          <cell r="J18">
            <v>1.7831250000000001</v>
          </cell>
        </row>
        <row r="22">
          <cell r="J22">
            <v>1.3499999999999999</v>
          </cell>
        </row>
        <row r="28">
          <cell r="J28">
            <v>3.5999999999999996</v>
          </cell>
        </row>
        <row r="30">
          <cell r="J30">
            <v>21.239000000000001</v>
          </cell>
        </row>
        <row r="37">
          <cell r="J37">
            <v>3.5999999999999996</v>
          </cell>
        </row>
      </sheetData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m"/>
      <sheetName val="Du_lieu"/>
      <sheetName val="KH-Q1,Q2,01"/>
      <sheetName val="TONGKE3p "/>
      <sheetName val="TDTKP"/>
      <sheetName val="DON GIA"/>
      <sheetName val="TONG HOP VL-NC"/>
      <sheetName val="TNHCHINH"/>
      <sheetName val="CHITIET VL-NC-TT -1p"/>
      <sheetName val="TDTKP1"/>
      <sheetName val="phuluc1"/>
      <sheetName val="TONG HOP VL-NC TT"/>
      <sheetName val="KPVC-BD "/>
      <sheetName val="#REF"/>
      <sheetName val="gvl"/>
      <sheetName val="Tiepdia"/>
      <sheetName val="CHITIET VL-NC-TT-3p"/>
      <sheetName val="VCV-BE-TONG"/>
      <sheetName val="chitiet"/>
      <sheetName val="VC"/>
      <sheetName val="CHITIET VL-NC"/>
      <sheetName val="THPDMoi  (2)"/>
      <sheetName val="t-h HA THE"/>
      <sheetName val="giathanh1"/>
      <sheetName val="TONGKE-HT"/>
      <sheetName val="LKVL-CK-HT-GD1"/>
      <sheetName val="TH VL, NC, DDHT Thanhphuoc"/>
      <sheetName val="dongia (2)"/>
      <sheetName val="DG"/>
      <sheetName val="DONGIA"/>
      <sheetName val="chitimc"/>
      <sheetName val="dtxl"/>
      <sheetName val="gtrinh"/>
      <sheetName val="lam-moi"/>
      <sheetName val="TH XL"/>
      <sheetName val="thao-go"/>
      <sheetName val="BAOGIATHANG"/>
      <sheetName val="vanchuyen TC"/>
      <sheetName val="DAODAT"/>
      <sheetName val="dongiaX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1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5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0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32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34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36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40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4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45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46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47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48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49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50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51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5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083E7-C4FA-4411-8074-C51645C7ADDD}">
  <sheetPr>
    <tabColor rgb="FFFF0000"/>
  </sheetPr>
  <dimension ref="A1:U69"/>
  <sheetViews>
    <sheetView topLeftCell="A4" workbookViewId="0">
      <selection activeCell="B29" sqref="B29"/>
    </sheetView>
  </sheetViews>
  <sheetFormatPr defaultColWidth="8.85546875" defaultRowHeight="15"/>
  <cols>
    <col min="1" max="1" width="4" style="126" customWidth="1"/>
    <col min="2" max="2" width="39.28515625" style="126" customWidth="1"/>
    <col min="3" max="3" width="9.28515625" style="126" bestFit="1" customWidth="1"/>
    <col min="4" max="4" width="11.42578125" style="126" customWidth="1"/>
    <col min="5" max="5" width="13.42578125" style="126" customWidth="1"/>
    <col min="6" max="6" width="18.85546875" style="126" customWidth="1"/>
    <col min="7" max="7" width="6.140625" style="126" customWidth="1"/>
    <col min="8" max="8" width="8.85546875" style="146"/>
    <col min="9" max="9" width="10.28515625" style="146" bestFit="1" customWidth="1"/>
    <col min="10" max="10" width="7.5703125" style="146" customWidth="1"/>
    <col min="11" max="11" width="7.28515625" style="146" customWidth="1"/>
    <col min="12" max="12" width="8.85546875" style="126"/>
    <col min="13" max="13" width="8.85546875" style="147"/>
    <col min="14" max="14" width="5.5703125" style="126" customWidth="1"/>
    <col min="15" max="15" width="3" style="126" customWidth="1"/>
    <col min="16" max="16" width="7.28515625" style="126" customWidth="1"/>
    <col min="17" max="17" width="8.85546875" style="126"/>
    <col min="18" max="18" width="15.42578125" style="126" customWidth="1"/>
    <col min="19" max="19" width="7.5703125" style="126" customWidth="1"/>
    <col min="20" max="16384" width="8.85546875" style="126"/>
  </cols>
  <sheetData>
    <row r="1" spans="1:21" ht="15.75">
      <c r="A1" s="1124" t="s">
        <v>48</v>
      </c>
      <c r="B1" s="1124"/>
      <c r="C1" s="1124"/>
      <c r="D1" s="1124"/>
      <c r="E1" s="1124"/>
      <c r="F1" s="1124"/>
      <c r="G1" s="189"/>
    </row>
    <row r="2" spans="1:21" ht="15.75">
      <c r="A2" s="1124" t="s">
        <v>49</v>
      </c>
      <c r="B2" s="1124"/>
      <c r="C2" s="1124"/>
      <c r="D2" s="1124"/>
      <c r="E2" s="1124"/>
      <c r="F2" s="1124"/>
      <c r="G2" s="189"/>
    </row>
    <row r="3" spans="1:21" ht="18.75">
      <c r="A3" s="190"/>
      <c r="B3" s="191"/>
      <c r="C3" s="128"/>
      <c r="D3" s="128"/>
      <c r="E3" s="129"/>
    </row>
    <row r="4" spans="1:21" ht="15.75">
      <c r="A4" s="127"/>
      <c r="B4" s="130"/>
      <c r="C4" s="131"/>
      <c r="D4" s="131"/>
      <c r="E4" s="132"/>
      <c r="F4" s="130"/>
      <c r="G4" s="130"/>
    </row>
    <row r="5" spans="1:21">
      <c r="A5" s="1125" t="s">
        <v>50</v>
      </c>
      <c r="B5" s="1125" t="s">
        <v>51</v>
      </c>
      <c r="C5" s="1126" t="s">
        <v>52</v>
      </c>
      <c r="D5" s="1127"/>
      <c r="E5" s="1128" t="s">
        <v>53</v>
      </c>
      <c r="F5" s="1130" t="s">
        <v>54</v>
      </c>
    </row>
    <row r="6" spans="1:21" ht="25.5">
      <c r="A6" s="1125"/>
      <c r="B6" s="1125"/>
      <c r="C6" s="133" t="s">
        <v>55</v>
      </c>
      <c r="D6" s="134" t="s">
        <v>56</v>
      </c>
      <c r="E6" s="1129"/>
      <c r="F6" s="1131"/>
    </row>
    <row r="7" spans="1:21">
      <c r="A7" s="135" t="s">
        <v>11</v>
      </c>
      <c r="B7" s="136" t="s">
        <v>57</v>
      </c>
      <c r="C7" s="137"/>
      <c r="D7" s="137"/>
      <c r="E7" s="138"/>
      <c r="F7" s="139"/>
      <c r="G7" s="140"/>
      <c r="H7" s="141" t="s">
        <v>58</v>
      </c>
      <c r="I7" s="141" t="s">
        <v>59</v>
      </c>
      <c r="J7" s="141" t="s">
        <v>60</v>
      </c>
      <c r="K7" s="141" t="s">
        <v>61</v>
      </c>
      <c r="L7" s="1117" t="s">
        <v>54</v>
      </c>
      <c r="M7" s="1117"/>
      <c r="N7" s="1117"/>
      <c r="S7" s="192" t="s">
        <v>92</v>
      </c>
      <c r="U7" s="192"/>
    </row>
    <row r="8" spans="1:21">
      <c r="A8" s="142">
        <v>1</v>
      </c>
      <c r="B8" s="143" t="s">
        <v>93</v>
      </c>
      <c r="C8" s="144">
        <v>4</v>
      </c>
      <c r="D8" s="144">
        <v>200</v>
      </c>
      <c r="E8" s="145">
        <f>C8*D8</f>
        <v>800</v>
      </c>
      <c r="F8" s="193"/>
      <c r="G8" s="126">
        <v>1</v>
      </c>
      <c r="H8" s="146" t="s">
        <v>63</v>
      </c>
      <c r="I8" s="146" t="s">
        <v>63</v>
      </c>
      <c r="J8" s="146" t="s">
        <v>63</v>
      </c>
      <c r="K8" s="146" t="s">
        <v>63</v>
      </c>
      <c r="L8" s="146" t="s">
        <v>94</v>
      </c>
      <c r="M8" s="147" t="s">
        <v>64</v>
      </c>
      <c r="S8" s="192" t="s">
        <v>92</v>
      </c>
    </row>
    <row r="9" spans="1:21">
      <c r="A9" s="142"/>
      <c r="B9" s="143"/>
      <c r="C9" s="144">
        <v>3</v>
      </c>
      <c r="D9" s="144">
        <v>300</v>
      </c>
      <c r="E9" s="145">
        <f>C9*D9</f>
        <v>900</v>
      </c>
      <c r="F9" s="193"/>
      <c r="G9" s="148">
        <f>G8+1</f>
        <v>2</v>
      </c>
      <c r="H9" s="146" t="s">
        <v>63</v>
      </c>
      <c r="I9" s="146" t="s">
        <v>63</v>
      </c>
      <c r="J9" s="146" t="s">
        <v>63</v>
      </c>
      <c r="K9" s="146" t="s">
        <v>63</v>
      </c>
      <c r="L9" s="146" t="s">
        <v>95</v>
      </c>
      <c r="M9" s="147" t="s">
        <v>65</v>
      </c>
      <c r="S9" s="192" t="s">
        <v>92</v>
      </c>
    </row>
    <row r="10" spans="1:21">
      <c r="A10" s="142"/>
      <c r="B10" s="143"/>
      <c r="C10" s="144">
        <v>3</v>
      </c>
      <c r="D10" s="144">
        <v>400</v>
      </c>
      <c r="E10" s="145">
        <f>C10*D10</f>
        <v>1200</v>
      </c>
      <c r="F10" s="193"/>
      <c r="G10" s="148">
        <f t="shared" ref="G10:G12" si="0">G9+1</f>
        <v>3</v>
      </c>
      <c r="H10" s="146" t="s">
        <v>63</v>
      </c>
      <c r="I10" s="146" t="s">
        <v>63</v>
      </c>
      <c r="J10" s="146" t="s">
        <v>63</v>
      </c>
      <c r="K10" s="146" t="s">
        <v>63</v>
      </c>
      <c r="L10" s="146" t="s">
        <v>96</v>
      </c>
      <c r="M10" s="147" t="s">
        <v>97</v>
      </c>
      <c r="S10" s="192" t="s">
        <v>92</v>
      </c>
    </row>
    <row r="11" spans="1:21">
      <c r="A11" s="142"/>
      <c r="B11" s="143"/>
      <c r="C11" s="144">
        <v>1</v>
      </c>
      <c r="D11" s="144">
        <v>1000</v>
      </c>
      <c r="E11" s="145">
        <f>C11*D11</f>
        <v>1000</v>
      </c>
      <c r="F11" s="193"/>
      <c r="G11" s="148">
        <f t="shared" si="0"/>
        <v>4</v>
      </c>
      <c r="H11" s="146" t="s">
        <v>63</v>
      </c>
      <c r="I11" s="146" t="s">
        <v>63</v>
      </c>
      <c r="J11" s="146" t="s">
        <v>63</v>
      </c>
      <c r="K11" s="146" t="s">
        <v>63</v>
      </c>
      <c r="L11" s="146" t="s">
        <v>98</v>
      </c>
      <c r="M11" s="147" t="s">
        <v>99</v>
      </c>
      <c r="S11" s="192" t="s">
        <v>92</v>
      </c>
    </row>
    <row r="12" spans="1:21">
      <c r="A12" s="142"/>
      <c r="B12" s="143"/>
      <c r="C12" s="144">
        <v>8</v>
      </c>
      <c r="D12" s="144">
        <v>25</v>
      </c>
      <c r="E12" s="145">
        <f>C12*D12</f>
        <v>200</v>
      </c>
      <c r="F12" s="194"/>
      <c r="G12" s="148">
        <f t="shared" si="0"/>
        <v>5</v>
      </c>
      <c r="H12" s="146" t="s">
        <v>63</v>
      </c>
      <c r="I12" s="146" t="s">
        <v>63</v>
      </c>
      <c r="J12" s="146" t="s">
        <v>63</v>
      </c>
      <c r="K12" s="146" t="s">
        <v>63</v>
      </c>
      <c r="L12" s="146" t="s">
        <v>100</v>
      </c>
      <c r="M12" s="147" t="s">
        <v>101</v>
      </c>
      <c r="S12" s="192" t="s">
        <v>92</v>
      </c>
    </row>
    <row r="13" spans="1:21" ht="15.75">
      <c r="A13" s="149"/>
      <c r="B13" s="150" t="s">
        <v>66</v>
      </c>
      <c r="C13" s="151"/>
      <c r="D13" s="151"/>
      <c r="E13" s="152">
        <f>SUM(E8:E12)</f>
        <v>4100</v>
      </c>
      <c r="F13" s="193"/>
      <c r="G13" s="195"/>
      <c r="S13" s="192"/>
    </row>
    <row r="14" spans="1:21">
      <c r="A14" s="142"/>
      <c r="B14" s="196"/>
      <c r="C14" s="156"/>
      <c r="D14" s="156"/>
      <c r="E14" s="197"/>
      <c r="F14" s="193"/>
      <c r="G14" s="195"/>
      <c r="S14" s="192"/>
    </row>
    <row r="15" spans="1:21">
      <c r="A15" s="142">
        <f>A8+1</f>
        <v>2</v>
      </c>
      <c r="B15" s="143" t="s">
        <v>102</v>
      </c>
      <c r="C15" s="144">
        <v>19</v>
      </c>
      <c r="D15" s="144">
        <v>200</v>
      </c>
      <c r="E15" s="145">
        <f>C15*D15</f>
        <v>3800</v>
      </c>
      <c r="F15" s="193"/>
      <c r="G15" s="148">
        <f>G12+1</f>
        <v>6</v>
      </c>
      <c r="H15" s="146" t="s">
        <v>63</v>
      </c>
      <c r="I15" s="146" t="s">
        <v>63</v>
      </c>
      <c r="J15" s="146" t="s">
        <v>63</v>
      </c>
      <c r="K15" s="146" t="s">
        <v>63</v>
      </c>
      <c r="L15" s="146" t="s">
        <v>103</v>
      </c>
      <c r="M15" s="147" t="s">
        <v>104</v>
      </c>
      <c r="S15" s="192" t="s">
        <v>92</v>
      </c>
    </row>
    <row r="16" spans="1:21">
      <c r="A16" s="142">
        <f>A15+1</f>
        <v>3</v>
      </c>
      <c r="B16" s="143" t="s">
        <v>105</v>
      </c>
      <c r="C16" s="144">
        <v>1</v>
      </c>
      <c r="D16" s="144">
        <v>1600</v>
      </c>
      <c r="E16" s="145">
        <f>C16*D16</f>
        <v>1600</v>
      </c>
      <c r="F16" s="193"/>
      <c r="G16" s="148">
        <f>G15+1</f>
        <v>7</v>
      </c>
      <c r="H16" s="146" t="s">
        <v>63</v>
      </c>
      <c r="I16" s="146" t="s">
        <v>63</v>
      </c>
      <c r="J16" s="146" t="s">
        <v>63</v>
      </c>
      <c r="K16" s="146" t="s">
        <v>63</v>
      </c>
      <c r="L16" s="146" t="s">
        <v>106</v>
      </c>
      <c r="M16" s="147" t="s">
        <v>107</v>
      </c>
      <c r="S16" s="192" t="s">
        <v>92</v>
      </c>
    </row>
    <row r="17" spans="1:19">
      <c r="A17" s="142">
        <f t="shared" ref="A17:A18" si="1">A16+1</f>
        <v>4</v>
      </c>
      <c r="B17" s="143" t="s">
        <v>108</v>
      </c>
      <c r="C17" s="144">
        <v>361</v>
      </c>
      <c r="D17" s="144">
        <v>7.5</v>
      </c>
      <c r="E17" s="145">
        <f>C17*D17</f>
        <v>2707.5</v>
      </c>
      <c r="F17" s="171" t="s">
        <v>109</v>
      </c>
      <c r="G17" s="148">
        <f>G16+1</f>
        <v>8</v>
      </c>
      <c r="H17" s="146" t="s">
        <v>63</v>
      </c>
      <c r="I17" s="146" t="s">
        <v>63</v>
      </c>
      <c r="J17" s="146" t="s">
        <v>63</v>
      </c>
      <c r="K17" s="146" t="s">
        <v>63</v>
      </c>
      <c r="L17" s="146" t="s">
        <v>110</v>
      </c>
      <c r="M17" s="147" t="s">
        <v>111</v>
      </c>
      <c r="S17" s="192" t="s">
        <v>92</v>
      </c>
    </row>
    <row r="18" spans="1:19">
      <c r="A18" s="142">
        <f t="shared" si="1"/>
        <v>5</v>
      </c>
      <c r="B18" s="143" t="s">
        <v>112</v>
      </c>
      <c r="C18" s="144">
        <v>1</v>
      </c>
      <c r="D18" s="144">
        <v>1600</v>
      </c>
      <c r="E18" s="145">
        <f>C18*D18</f>
        <v>1600</v>
      </c>
      <c r="F18" s="171"/>
      <c r="G18" s="148">
        <f>G17+1</f>
        <v>9</v>
      </c>
      <c r="H18" s="146" t="s">
        <v>63</v>
      </c>
      <c r="I18" s="146" t="s">
        <v>63</v>
      </c>
      <c r="J18" s="146" t="s">
        <v>63</v>
      </c>
      <c r="K18" s="146" t="s">
        <v>63</v>
      </c>
      <c r="L18" s="146" t="s">
        <v>113</v>
      </c>
      <c r="M18" s="147" t="s">
        <v>67</v>
      </c>
      <c r="S18" s="192" t="s">
        <v>92</v>
      </c>
    </row>
    <row r="19" spans="1:19">
      <c r="A19" s="142"/>
      <c r="B19" s="143"/>
      <c r="C19" s="144"/>
      <c r="D19" s="144"/>
      <c r="E19" s="145"/>
      <c r="F19" s="171"/>
      <c r="G19" s="148"/>
      <c r="S19" s="192"/>
    </row>
    <row r="20" spans="1:19">
      <c r="A20" s="142">
        <v>6</v>
      </c>
      <c r="B20" s="143" t="s">
        <v>114</v>
      </c>
      <c r="C20" s="156">
        <v>1</v>
      </c>
      <c r="D20" s="156">
        <v>7.5</v>
      </c>
      <c r="E20" s="153">
        <f>C20*D20</f>
        <v>7.5</v>
      </c>
      <c r="F20" s="171" t="s">
        <v>115</v>
      </c>
      <c r="G20" s="148"/>
      <c r="S20" s="192"/>
    </row>
    <row r="21" spans="1:19">
      <c r="A21" s="142"/>
      <c r="B21" s="143"/>
      <c r="C21" s="156">
        <v>4</v>
      </c>
      <c r="D21" s="156">
        <v>30</v>
      </c>
      <c r="E21" s="153">
        <f>C21*D21</f>
        <v>120</v>
      </c>
      <c r="F21" s="171" t="s">
        <v>116</v>
      </c>
      <c r="G21" s="148">
        <f>G18+1</f>
        <v>10</v>
      </c>
      <c r="H21" s="146" t="s">
        <v>63</v>
      </c>
      <c r="I21" s="146" t="s">
        <v>63</v>
      </c>
      <c r="J21" s="146" t="s">
        <v>63</v>
      </c>
      <c r="K21" s="146" t="s">
        <v>63</v>
      </c>
      <c r="L21" s="146" t="s">
        <v>117</v>
      </c>
      <c r="M21" s="147" t="s">
        <v>118</v>
      </c>
      <c r="S21" s="192" t="s">
        <v>92</v>
      </c>
    </row>
    <row r="22" spans="1:19">
      <c r="A22" s="142"/>
      <c r="B22" s="143"/>
      <c r="C22" s="156">
        <v>6</v>
      </c>
      <c r="D22" s="156">
        <v>34</v>
      </c>
      <c r="E22" s="153">
        <f>C22*D22</f>
        <v>204</v>
      </c>
      <c r="F22" s="171" t="s">
        <v>119</v>
      </c>
      <c r="G22" s="148">
        <f>G21+1</f>
        <v>11</v>
      </c>
      <c r="H22" s="146" t="s">
        <v>63</v>
      </c>
      <c r="I22" s="146" t="s">
        <v>63</v>
      </c>
      <c r="J22" s="146" t="s">
        <v>63</v>
      </c>
      <c r="K22" s="146" t="s">
        <v>63</v>
      </c>
      <c r="L22" s="146" t="s">
        <v>120</v>
      </c>
      <c r="M22" s="147" t="s">
        <v>121</v>
      </c>
      <c r="S22" s="192" t="s">
        <v>92</v>
      </c>
    </row>
    <row r="23" spans="1:19">
      <c r="A23" s="142"/>
      <c r="B23" s="143"/>
      <c r="C23" s="156">
        <v>1</v>
      </c>
      <c r="D23" s="156">
        <v>72</v>
      </c>
      <c r="E23" s="153">
        <f>C23*D23</f>
        <v>72</v>
      </c>
      <c r="F23" s="171" t="s">
        <v>122</v>
      </c>
      <c r="G23" s="148"/>
      <c r="S23" s="192"/>
    </row>
    <row r="24" spans="1:19" ht="15.75">
      <c r="A24" s="149"/>
      <c r="B24" s="150" t="s">
        <v>123</v>
      </c>
      <c r="C24" s="151"/>
      <c r="D24" s="151"/>
      <c r="E24" s="198">
        <f>SUM(E20:E23)</f>
        <v>403.5</v>
      </c>
      <c r="F24" s="199"/>
      <c r="S24" s="192"/>
    </row>
    <row r="25" spans="1:19">
      <c r="A25" s="200">
        <v>7</v>
      </c>
      <c r="B25" s="201" t="s">
        <v>124</v>
      </c>
      <c r="C25" s="202" t="s">
        <v>62</v>
      </c>
      <c r="D25" s="202" t="s">
        <v>62</v>
      </c>
      <c r="E25" s="1118">
        <v>828.81</v>
      </c>
      <c r="F25" s="1121" t="s">
        <v>125</v>
      </c>
      <c r="G25" s="203"/>
      <c r="S25" s="192"/>
    </row>
    <row r="26" spans="1:19">
      <c r="A26" s="204"/>
      <c r="B26" s="143" t="s">
        <v>126</v>
      </c>
      <c r="C26" s="202" t="s">
        <v>62</v>
      </c>
      <c r="D26" s="202" t="s">
        <v>62</v>
      </c>
      <c r="E26" s="1119"/>
      <c r="F26" s="1122"/>
      <c r="G26" s="205">
        <f>G22+1</f>
        <v>12</v>
      </c>
      <c r="H26" s="146" t="s">
        <v>63</v>
      </c>
      <c r="I26" s="146" t="s">
        <v>63</v>
      </c>
      <c r="J26" s="146" t="s">
        <v>63</v>
      </c>
      <c r="K26" s="146" t="s">
        <v>63</v>
      </c>
      <c r="L26" s="146" t="s">
        <v>127</v>
      </c>
      <c r="M26" s="147" t="s">
        <v>128</v>
      </c>
      <c r="S26" s="192" t="s">
        <v>92</v>
      </c>
    </row>
    <row r="27" spans="1:19">
      <c r="A27" s="206"/>
      <c r="B27" s="143" t="s">
        <v>129</v>
      </c>
      <c r="C27" s="202" t="s">
        <v>62</v>
      </c>
      <c r="D27" s="202" t="s">
        <v>62</v>
      </c>
      <c r="E27" s="1120"/>
      <c r="F27" s="1123"/>
      <c r="G27" s="203"/>
      <c r="S27" s="192"/>
    </row>
    <row r="28" spans="1:19">
      <c r="A28" s="142">
        <v>8</v>
      </c>
      <c r="B28" s="143" t="s">
        <v>130</v>
      </c>
      <c r="C28" s="156">
        <v>1</v>
      </c>
      <c r="D28" s="156">
        <v>15</v>
      </c>
      <c r="E28" s="155">
        <f t="shared" ref="E28:E39" si="2">C28*D28</f>
        <v>15</v>
      </c>
      <c r="F28" s="207"/>
      <c r="G28" s="208">
        <f>G26+1</f>
        <v>13</v>
      </c>
      <c r="H28" s="146" t="s">
        <v>63</v>
      </c>
      <c r="I28" s="146" t="s">
        <v>63</v>
      </c>
      <c r="J28" s="146" t="s">
        <v>63</v>
      </c>
      <c r="K28" s="146" t="s">
        <v>70</v>
      </c>
      <c r="L28" s="146" t="s">
        <v>131</v>
      </c>
      <c r="M28" s="147" t="s">
        <v>132</v>
      </c>
      <c r="S28" s="192" t="s">
        <v>92</v>
      </c>
    </row>
    <row r="29" spans="1:19">
      <c r="A29" s="209">
        <v>9</v>
      </c>
      <c r="B29" s="143" t="s">
        <v>133</v>
      </c>
      <c r="C29" s="156">
        <v>1</v>
      </c>
      <c r="D29" s="156">
        <v>32</v>
      </c>
      <c r="E29" s="155">
        <f t="shared" si="2"/>
        <v>32</v>
      </c>
      <c r="F29" s="210"/>
      <c r="G29" s="211">
        <f>G28+1</f>
        <v>14</v>
      </c>
      <c r="H29" s="146" t="s">
        <v>63</v>
      </c>
      <c r="I29" s="146" t="s">
        <v>63</v>
      </c>
      <c r="J29" s="146" t="s">
        <v>63</v>
      </c>
      <c r="K29" s="146" t="s">
        <v>70</v>
      </c>
      <c r="L29" s="146" t="s">
        <v>134</v>
      </c>
      <c r="M29" s="147" t="s">
        <v>135</v>
      </c>
      <c r="S29" s="192" t="s">
        <v>92</v>
      </c>
    </row>
    <row r="30" spans="1:19">
      <c r="A30" s="142">
        <v>10</v>
      </c>
      <c r="B30" s="143" t="s">
        <v>136</v>
      </c>
      <c r="C30" s="156">
        <v>3</v>
      </c>
      <c r="D30" s="156">
        <v>15</v>
      </c>
      <c r="E30" s="155">
        <f t="shared" si="2"/>
        <v>45</v>
      </c>
      <c r="F30" s="210"/>
      <c r="G30" s="211">
        <f t="shared" ref="G30:G39" si="3">G29+1</f>
        <v>15</v>
      </c>
      <c r="H30" s="146" t="s">
        <v>63</v>
      </c>
      <c r="I30" s="146" t="s">
        <v>63</v>
      </c>
      <c r="J30" s="146" t="s">
        <v>63</v>
      </c>
      <c r="K30" s="146" t="s">
        <v>63</v>
      </c>
      <c r="L30" s="146" t="s">
        <v>137</v>
      </c>
      <c r="M30" s="147" t="s">
        <v>68</v>
      </c>
      <c r="S30" s="192" t="s">
        <v>92</v>
      </c>
    </row>
    <row r="31" spans="1:19">
      <c r="A31" s="209">
        <v>11</v>
      </c>
      <c r="B31" s="143" t="s">
        <v>138</v>
      </c>
      <c r="C31" s="156">
        <v>1</v>
      </c>
      <c r="D31" s="156">
        <v>51.2</v>
      </c>
      <c r="E31" s="155">
        <f t="shared" si="2"/>
        <v>51.2</v>
      </c>
      <c r="F31" s="210"/>
      <c r="G31" s="211">
        <f t="shared" si="3"/>
        <v>16</v>
      </c>
      <c r="H31" s="157" t="s">
        <v>63</v>
      </c>
      <c r="I31" s="157" t="s">
        <v>63</v>
      </c>
      <c r="J31" s="157" t="s">
        <v>63</v>
      </c>
      <c r="K31" s="157" t="s">
        <v>63</v>
      </c>
      <c r="L31" s="157" t="s">
        <v>139</v>
      </c>
      <c r="M31" s="212" t="s">
        <v>140</v>
      </c>
      <c r="N31" s="158"/>
      <c r="O31" s="158"/>
      <c r="P31" s="158" t="s">
        <v>141</v>
      </c>
      <c r="Q31" s="158"/>
      <c r="S31" s="192" t="s">
        <v>92</v>
      </c>
    </row>
    <row r="32" spans="1:19">
      <c r="A32" s="142">
        <v>12</v>
      </c>
      <c r="B32" s="143" t="s">
        <v>142</v>
      </c>
      <c r="C32" s="156">
        <v>1</v>
      </c>
      <c r="D32" s="156">
        <v>346.26</v>
      </c>
      <c r="E32" s="155">
        <f t="shared" si="2"/>
        <v>346.26</v>
      </c>
      <c r="F32" s="143"/>
      <c r="G32" s="211">
        <f t="shared" si="3"/>
        <v>17</v>
      </c>
      <c r="H32" s="146" t="s">
        <v>63</v>
      </c>
      <c r="I32" s="146" t="s">
        <v>63</v>
      </c>
      <c r="J32" s="146" t="s">
        <v>63</v>
      </c>
      <c r="K32" s="146" t="s">
        <v>63</v>
      </c>
      <c r="L32" s="146" t="s">
        <v>143</v>
      </c>
      <c r="M32" s="147" t="s">
        <v>144</v>
      </c>
      <c r="S32" s="192" t="s">
        <v>92</v>
      </c>
    </row>
    <row r="33" spans="1:19">
      <c r="A33" s="209">
        <v>13</v>
      </c>
      <c r="B33" s="143" t="s">
        <v>145</v>
      </c>
      <c r="C33" s="156">
        <v>1</v>
      </c>
      <c r="D33" s="156">
        <v>60</v>
      </c>
      <c r="E33" s="155">
        <f t="shared" si="2"/>
        <v>60</v>
      </c>
      <c r="F33" s="171"/>
      <c r="G33" s="211">
        <f t="shared" si="3"/>
        <v>18</v>
      </c>
      <c r="H33" s="146" t="s">
        <v>63</v>
      </c>
      <c r="I33" s="146" t="s">
        <v>63</v>
      </c>
      <c r="J33" s="146" t="s">
        <v>63</v>
      </c>
      <c r="K33" s="146" t="s">
        <v>63</v>
      </c>
      <c r="L33" s="146" t="s">
        <v>146</v>
      </c>
      <c r="M33" s="147" t="s">
        <v>68</v>
      </c>
      <c r="S33" s="192" t="s">
        <v>92</v>
      </c>
    </row>
    <row r="34" spans="1:19">
      <c r="A34" s="142">
        <v>14</v>
      </c>
      <c r="B34" s="143" t="s">
        <v>147</v>
      </c>
      <c r="C34" s="156">
        <v>1</v>
      </c>
      <c r="D34" s="156">
        <v>72</v>
      </c>
      <c r="E34" s="155">
        <f t="shared" si="2"/>
        <v>72</v>
      </c>
      <c r="F34" s="171"/>
      <c r="G34" s="211">
        <f t="shared" si="3"/>
        <v>19</v>
      </c>
      <c r="H34" s="146" t="s">
        <v>63</v>
      </c>
      <c r="I34" s="146" t="s">
        <v>63</v>
      </c>
      <c r="J34" s="146" t="s">
        <v>63</v>
      </c>
      <c r="K34" s="146" t="s">
        <v>63</v>
      </c>
      <c r="L34" s="146" t="s">
        <v>148</v>
      </c>
      <c r="M34" s="147" t="s">
        <v>149</v>
      </c>
      <c r="S34" s="192" t="s">
        <v>92</v>
      </c>
    </row>
    <row r="35" spans="1:19">
      <c r="A35" s="209">
        <v>15</v>
      </c>
      <c r="B35" s="143" t="s">
        <v>150</v>
      </c>
      <c r="C35" s="156">
        <v>1</v>
      </c>
      <c r="D35" s="156">
        <v>48</v>
      </c>
      <c r="E35" s="155">
        <f t="shared" si="2"/>
        <v>48</v>
      </c>
      <c r="F35" s="171"/>
      <c r="G35" s="211">
        <f t="shared" si="3"/>
        <v>20</v>
      </c>
      <c r="H35" s="146" t="s">
        <v>63</v>
      </c>
      <c r="I35" s="146" t="s">
        <v>63</v>
      </c>
      <c r="J35" s="146" t="s">
        <v>63</v>
      </c>
      <c r="K35" s="146" t="s">
        <v>63</v>
      </c>
      <c r="L35" s="146" t="s">
        <v>151</v>
      </c>
      <c r="M35" s="147" t="s">
        <v>152</v>
      </c>
      <c r="S35" s="192" t="s">
        <v>92</v>
      </c>
    </row>
    <row r="36" spans="1:19">
      <c r="A36" s="142">
        <v>16</v>
      </c>
      <c r="B36" s="143" t="s">
        <v>71</v>
      </c>
      <c r="C36" s="156">
        <v>1</v>
      </c>
      <c r="D36" s="156">
        <v>400</v>
      </c>
      <c r="E36" s="155">
        <f t="shared" si="2"/>
        <v>400</v>
      </c>
      <c r="F36" s="143"/>
      <c r="G36" s="211">
        <f t="shared" si="3"/>
        <v>21</v>
      </c>
      <c r="H36" s="157" t="s">
        <v>70</v>
      </c>
      <c r="I36" s="157" t="s">
        <v>70</v>
      </c>
      <c r="J36" s="157" t="s">
        <v>70</v>
      </c>
      <c r="K36" s="157" t="s">
        <v>70</v>
      </c>
      <c r="L36" s="157" t="s">
        <v>153</v>
      </c>
      <c r="M36" s="212" t="s">
        <v>71</v>
      </c>
      <c r="S36" s="192" t="s">
        <v>92</v>
      </c>
    </row>
    <row r="37" spans="1:19">
      <c r="A37" s="209">
        <v>17</v>
      </c>
      <c r="B37" s="143" t="s">
        <v>69</v>
      </c>
      <c r="C37" s="156">
        <v>1</v>
      </c>
      <c r="D37" s="156">
        <v>60</v>
      </c>
      <c r="E37" s="155">
        <f t="shared" si="2"/>
        <v>60</v>
      </c>
      <c r="F37" s="171"/>
      <c r="G37" s="211">
        <f t="shared" si="3"/>
        <v>22</v>
      </c>
      <c r="H37" s="146" t="s">
        <v>63</v>
      </c>
      <c r="I37" s="146" t="s">
        <v>63</v>
      </c>
      <c r="J37" s="146" t="s">
        <v>70</v>
      </c>
      <c r="K37" s="146" t="s">
        <v>63</v>
      </c>
      <c r="L37" s="146" t="s">
        <v>154</v>
      </c>
      <c r="M37" s="147" t="s">
        <v>69</v>
      </c>
      <c r="S37" s="192" t="s">
        <v>92</v>
      </c>
    </row>
    <row r="38" spans="1:19">
      <c r="A38" s="142">
        <v>18</v>
      </c>
      <c r="B38" s="143" t="s">
        <v>72</v>
      </c>
      <c r="C38" s="156">
        <v>1</v>
      </c>
      <c r="D38" s="156">
        <v>250</v>
      </c>
      <c r="E38" s="155">
        <f t="shared" si="2"/>
        <v>250</v>
      </c>
      <c r="F38" s="171"/>
      <c r="G38" s="211">
        <f t="shared" si="3"/>
        <v>23</v>
      </c>
      <c r="H38" s="146" t="s">
        <v>63</v>
      </c>
      <c r="I38" s="146" t="s">
        <v>63</v>
      </c>
      <c r="J38" s="146" t="s">
        <v>63</v>
      </c>
      <c r="K38" s="146" t="s">
        <v>63</v>
      </c>
      <c r="L38" s="146" t="s">
        <v>155</v>
      </c>
      <c r="M38" s="147" t="s">
        <v>73</v>
      </c>
      <c r="S38" s="192"/>
    </row>
    <row r="39" spans="1:19" ht="15.75" thickBot="1">
      <c r="A39" s="209">
        <v>19</v>
      </c>
      <c r="B39" s="143" t="s">
        <v>156</v>
      </c>
      <c r="C39" s="156">
        <v>1</v>
      </c>
      <c r="D39" s="156">
        <v>80</v>
      </c>
      <c r="E39" s="155">
        <f t="shared" si="2"/>
        <v>80</v>
      </c>
      <c r="F39" s="171"/>
      <c r="G39" s="211">
        <f t="shared" si="3"/>
        <v>24</v>
      </c>
      <c r="H39" s="146" t="s">
        <v>63</v>
      </c>
      <c r="I39" s="146" t="s">
        <v>63</v>
      </c>
      <c r="J39" s="146" t="s">
        <v>63</v>
      </c>
      <c r="K39" s="146" t="s">
        <v>63</v>
      </c>
      <c r="L39" s="146" t="s">
        <v>157</v>
      </c>
      <c r="M39" s="147" t="s">
        <v>158</v>
      </c>
      <c r="O39" s="147" t="s">
        <v>159</v>
      </c>
      <c r="S39" s="192" t="s">
        <v>92</v>
      </c>
    </row>
    <row r="40" spans="1:19" ht="15.75" thickTop="1">
      <c r="A40" s="161"/>
      <c r="B40" s="162" t="s">
        <v>74</v>
      </c>
      <c r="C40" s="163"/>
      <c r="D40" s="163"/>
      <c r="E40" s="164">
        <f>SUM(E13,E15:E18,E24,E25:E39)</f>
        <v>16499.27</v>
      </c>
      <c r="F40" s="165"/>
      <c r="G40" s="213"/>
    </row>
    <row r="41" spans="1:19" ht="2.4500000000000002" customHeight="1">
      <c r="A41" s="142"/>
      <c r="B41" s="143"/>
      <c r="C41" s="144"/>
      <c r="D41" s="144"/>
      <c r="E41" s="170"/>
      <c r="F41" s="143"/>
      <c r="G41" s="214"/>
    </row>
    <row r="42" spans="1:19">
      <c r="A42" s="135" t="s">
        <v>12</v>
      </c>
      <c r="B42" s="136" t="s">
        <v>75</v>
      </c>
      <c r="C42" s="166"/>
      <c r="D42" s="166"/>
      <c r="E42" s="167"/>
      <c r="F42" s="168"/>
      <c r="G42" s="215"/>
    </row>
    <row r="43" spans="1:19">
      <c r="A43" s="142">
        <v>1</v>
      </c>
      <c r="B43" s="159" t="s">
        <v>76</v>
      </c>
      <c r="C43" s="144"/>
      <c r="D43" s="144"/>
      <c r="E43" s="169"/>
      <c r="F43" s="160"/>
      <c r="G43" s="216"/>
    </row>
    <row r="44" spans="1:19">
      <c r="A44" s="142"/>
      <c r="B44" s="159" t="s">
        <v>77</v>
      </c>
      <c r="C44" s="144"/>
      <c r="D44" s="144"/>
      <c r="E44" s="170"/>
      <c r="F44" s="143"/>
      <c r="G44" s="214"/>
    </row>
    <row r="45" spans="1:19">
      <c r="A45" s="142"/>
      <c r="B45" s="159" t="s">
        <v>78</v>
      </c>
      <c r="C45" s="144"/>
      <c r="D45" s="144"/>
      <c r="E45" s="170"/>
      <c r="F45" s="143"/>
      <c r="G45" s="214"/>
    </row>
    <row r="46" spans="1:19">
      <c r="A46" s="142">
        <v>2</v>
      </c>
      <c r="B46" s="159" t="s">
        <v>160</v>
      </c>
      <c r="C46" s="144">
        <v>17</v>
      </c>
      <c r="D46" s="144">
        <v>36</v>
      </c>
      <c r="E46" s="169">
        <f>C46*D46</f>
        <v>612</v>
      </c>
      <c r="F46" s="171" t="s">
        <v>161</v>
      </c>
      <c r="G46" s="148"/>
    </row>
    <row r="47" spans="1:19">
      <c r="A47" s="142"/>
      <c r="B47" s="159"/>
      <c r="C47" s="144"/>
      <c r="D47" s="144"/>
      <c r="E47" s="169"/>
      <c r="F47" s="171"/>
      <c r="G47" s="148"/>
    </row>
    <row r="48" spans="1:19">
      <c r="A48" s="142">
        <f>A46+1</f>
        <v>3</v>
      </c>
      <c r="B48" s="159" t="s">
        <v>79</v>
      </c>
      <c r="C48" s="144"/>
      <c r="D48" s="144"/>
      <c r="E48" s="169">
        <f t="shared" ref="E48:E50" si="4">C48*D48</f>
        <v>0</v>
      </c>
      <c r="F48" s="172"/>
      <c r="G48" s="217"/>
    </row>
    <row r="49" spans="1:9">
      <c r="A49" s="142"/>
      <c r="B49" s="159" t="s">
        <v>162</v>
      </c>
      <c r="C49" s="144">
        <v>533</v>
      </c>
      <c r="D49" s="144">
        <v>12.5</v>
      </c>
      <c r="E49" s="169">
        <f t="shared" si="4"/>
        <v>6662.5</v>
      </c>
      <c r="F49" s="171" t="s">
        <v>80</v>
      </c>
      <c r="G49" s="148"/>
    </row>
    <row r="50" spans="1:9">
      <c r="A50" s="142"/>
      <c r="B50" s="143" t="s">
        <v>163</v>
      </c>
      <c r="C50" s="144">
        <v>200</v>
      </c>
      <c r="D50" s="144">
        <v>2</v>
      </c>
      <c r="E50" s="169">
        <f t="shared" si="4"/>
        <v>400</v>
      </c>
      <c r="F50" s="171" t="s">
        <v>81</v>
      </c>
      <c r="G50" s="148"/>
    </row>
    <row r="51" spans="1:9" ht="15.75">
      <c r="A51" s="149"/>
      <c r="B51" s="150" t="s">
        <v>82</v>
      </c>
      <c r="C51" s="151"/>
      <c r="D51" s="151"/>
      <c r="E51" s="154">
        <f>SUM(E49:E50)</f>
        <v>7062.5</v>
      </c>
      <c r="F51" s="171"/>
      <c r="G51" s="148"/>
    </row>
    <row r="52" spans="1:9">
      <c r="A52" s="173">
        <v>4</v>
      </c>
      <c r="B52" s="143" t="s">
        <v>83</v>
      </c>
      <c r="C52" s="144">
        <v>25</v>
      </c>
      <c r="D52" s="144">
        <v>2</v>
      </c>
      <c r="E52" s="169">
        <f>C52*D52</f>
        <v>50</v>
      </c>
      <c r="F52" s="171" t="s">
        <v>84</v>
      </c>
      <c r="G52" s="148"/>
    </row>
    <row r="53" spans="1:9" ht="15.75" thickBot="1">
      <c r="A53" s="142">
        <v>5</v>
      </c>
      <c r="B53" s="159" t="s">
        <v>85</v>
      </c>
      <c r="C53" s="144"/>
      <c r="D53" s="144">
        <v>15827.66</v>
      </c>
      <c r="E53" s="169">
        <v>15827.66</v>
      </c>
      <c r="F53" s="160"/>
      <c r="G53" s="216"/>
      <c r="I53" s="218"/>
    </row>
    <row r="54" spans="1:9" ht="15.75" thickTop="1">
      <c r="A54" s="161"/>
      <c r="B54" s="162" t="s">
        <v>86</v>
      </c>
      <c r="C54" s="163"/>
      <c r="D54" s="163"/>
      <c r="E54" s="164">
        <f>SUM(E46,E51,E52:E53)</f>
        <v>23552.16</v>
      </c>
      <c r="F54" s="165"/>
      <c r="G54" s="219"/>
    </row>
    <row r="55" spans="1:9" ht="3" customHeight="1">
      <c r="A55" s="174"/>
      <c r="B55" s="175"/>
      <c r="C55" s="176"/>
      <c r="D55" s="176"/>
      <c r="E55" s="177"/>
      <c r="F55" s="178"/>
      <c r="G55" s="195"/>
    </row>
    <row r="56" spans="1:9">
      <c r="A56" s="135" t="s">
        <v>16</v>
      </c>
      <c r="B56" s="136" t="s">
        <v>87</v>
      </c>
      <c r="C56" s="166"/>
      <c r="D56" s="166"/>
      <c r="E56" s="167"/>
      <c r="F56" s="168"/>
      <c r="G56" s="215"/>
    </row>
    <row r="57" spans="1:9">
      <c r="A57" s="142">
        <v>1</v>
      </c>
      <c r="B57" s="143" t="s">
        <v>88</v>
      </c>
      <c r="C57" s="144"/>
      <c r="D57" s="144"/>
      <c r="E57" s="145">
        <v>4582.3599999999997</v>
      </c>
      <c r="F57" s="171"/>
      <c r="G57" s="148"/>
    </row>
    <row r="58" spans="1:9" ht="15.75" thickBot="1">
      <c r="A58" s="142">
        <v>2</v>
      </c>
      <c r="B58" s="159" t="s">
        <v>89</v>
      </c>
      <c r="C58" s="144"/>
      <c r="D58" s="144"/>
      <c r="E58" s="169">
        <v>88759.03</v>
      </c>
      <c r="F58" s="160"/>
      <c r="G58" s="216"/>
    </row>
    <row r="59" spans="1:9" ht="16.5" thickTop="1" thickBot="1">
      <c r="A59" s="179"/>
      <c r="B59" s="180" t="s">
        <v>90</v>
      </c>
      <c r="C59" s="181"/>
      <c r="D59" s="181"/>
      <c r="E59" s="182">
        <f>SUM(E57:E58)</f>
        <v>93341.39</v>
      </c>
      <c r="F59" s="183"/>
      <c r="G59" s="219"/>
    </row>
    <row r="60" spans="1:9" ht="15.75" thickTop="1">
      <c r="A60" s="184"/>
      <c r="B60" s="185" t="s">
        <v>91</v>
      </c>
      <c r="C60" s="186"/>
      <c r="D60" s="186"/>
      <c r="E60" s="187">
        <f>SUM(E54,E59)</f>
        <v>116893.55</v>
      </c>
      <c r="F60" s="188"/>
      <c r="G60" s="220"/>
    </row>
    <row r="61" spans="1:9">
      <c r="A61" s="221"/>
      <c r="C61" s="128"/>
      <c r="D61" s="128"/>
      <c r="E61" s="129"/>
    </row>
    <row r="62" spans="1:9">
      <c r="A62" s="221"/>
      <c r="C62" s="128"/>
      <c r="D62" s="128"/>
      <c r="E62" s="129"/>
    </row>
    <row r="63" spans="1:9">
      <c r="A63" s="221"/>
      <c r="C63" s="128"/>
      <c r="D63" s="128"/>
      <c r="E63" s="129"/>
    </row>
    <row r="65" spans="3:4">
      <c r="C65" s="217"/>
      <c r="D65" s="217"/>
    </row>
    <row r="69" spans="3:4">
      <c r="C69" s="217"/>
    </row>
  </sheetData>
  <mergeCells count="10">
    <mergeCell ref="L7:N7"/>
    <mergeCell ref="E25:E27"/>
    <mergeCell ref="F25:F27"/>
    <mergeCell ref="A1:F1"/>
    <mergeCell ref="A2:F2"/>
    <mergeCell ref="A5:A6"/>
    <mergeCell ref="B5:B6"/>
    <mergeCell ref="C5:D5"/>
    <mergeCell ref="E5:E6"/>
    <mergeCell ref="F5:F6"/>
  </mergeCells>
  <pageMargins left="0.7" right="0.7" top="0.75" bottom="0.75" header="0.3" footer="0.3"/>
  <pageSetup scale="93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F81ACF-6892-4F2D-9288-4CB40C9B6A68}">
  <dimension ref="A1:S185"/>
  <sheetViews>
    <sheetView topLeftCell="B1" zoomScale="98" zoomScaleNormal="100" workbookViewId="0">
      <selection activeCell="C14" sqref="C14"/>
    </sheetView>
  </sheetViews>
  <sheetFormatPr defaultColWidth="9.140625" defaultRowHeight="15.75"/>
  <cols>
    <col min="1" max="1" width="9.140625" style="558"/>
    <col min="2" max="2" width="6.42578125" style="558" customWidth="1"/>
    <col min="3" max="7" width="10.7109375" style="558" customWidth="1"/>
    <col min="8" max="8" width="8.5703125" style="559" customWidth="1"/>
    <col min="9" max="9" width="12.42578125" style="614" customWidth="1"/>
    <col min="10" max="10" width="13" style="923" bestFit="1" customWidth="1"/>
    <col min="11" max="11" width="18.7109375" style="558" customWidth="1"/>
    <col min="12" max="12" width="9.28515625" style="558" customWidth="1"/>
    <col min="13" max="14" width="9.140625" style="558"/>
    <col min="15" max="15" width="14.140625" style="558" customWidth="1"/>
    <col min="16" max="16" width="11" style="558" bestFit="1" customWidth="1"/>
    <col min="17" max="17" width="9.140625" style="558"/>
    <col min="18" max="18" width="10.85546875" style="558" customWidth="1"/>
    <col min="19" max="19" width="13.140625" style="558" customWidth="1"/>
    <col min="20" max="16384" width="9.140625" style="558"/>
  </cols>
  <sheetData>
    <row r="1" spans="2:12">
      <c r="B1" s="40"/>
    </row>
    <row r="2" spans="2:12">
      <c r="B2" s="414" t="s">
        <v>0</v>
      </c>
      <c r="C2" s="2"/>
      <c r="D2" s="1"/>
      <c r="E2" s="5"/>
      <c r="F2" s="6"/>
      <c r="G2" s="1"/>
      <c r="H2" s="1"/>
      <c r="I2" s="949"/>
      <c r="J2" s="292"/>
      <c r="K2" s="292"/>
    </row>
    <row r="3" spans="2:12">
      <c r="B3" s="859" t="s">
        <v>871</v>
      </c>
      <c r="C3" s="2"/>
      <c r="D3" s="1"/>
      <c r="E3" s="5"/>
      <c r="F3" s="6"/>
      <c r="G3" s="1"/>
      <c r="H3" s="1"/>
      <c r="I3" s="949"/>
      <c r="J3" s="292"/>
      <c r="K3" s="292"/>
    </row>
    <row r="4" spans="2:12">
      <c r="B4" s="850" t="s">
        <v>1</v>
      </c>
      <c r="C4" s="2"/>
      <c r="D4" s="1"/>
      <c r="E4" s="5"/>
      <c r="F4" s="6"/>
      <c r="G4" s="1"/>
      <c r="H4" s="1"/>
      <c r="I4" s="949"/>
      <c r="J4" s="292"/>
      <c r="K4" s="292"/>
    </row>
    <row r="5" spans="2:12">
      <c r="B5" s="414" t="s">
        <v>2</v>
      </c>
      <c r="C5" s="2"/>
      <c r="D5" s="1"/>
      <c r="E5" s="5"/>
      <c r="F5" s="6"/>
      <c r="G5" s="1"/>
      <c r="H5" s="1"/>
      <c r="I5" s="949"/>
      <c r="J5" s="292"/>
      <c r="K5" s="292"/>
    </row>
    <row r="6" spans="2:12">
      <c r="B6" s="850" t="s">
        <v>3</v>
      </c>
      <c r="C6" s="2"/>
      <c r="D6" s="1"/>
      <c r="E6" s="5"/>
      <c r="F6" s="6"/>
      <c r="G6" s="1"/>
      <c r="H6" s="1"/>
      <c r="I6" s="949"/>
      <c r="J6" s="292"/>
      <c r="K6" s="292"/>
    </row>
    <row r="7" spans="2:12" ht="16.5" thickBot="1">
      <c r="B7" s="1"/>
      <c r="C7" s="1"/>
      <c r="D7" s="1"/>
      <c r="E7" s="1"/>
      <c r="F7" s="1"/>
      <c r="G7" s="1"/>
      <c r="H7" s="1"/>
      <c r="I7" s="1136" t="str">
        <f>'04SumResto1000'!F8</f>
        <v>No. 004/RAB-Blok A-SSBP/I/2021</v>
      </c>
      <c r="J7" s="1136"/>
      <c r="K7" s="1136"/>
    </row>
    <row r="8" spans="2:12" ht="16.5" thickTop="1">
      <c r="B8" s="8"/>
      <c r="C8" s="9"/>
      <c r="D8" s="9"/>
      <c r="E8" s="9"/>
      <c r="F8" s="9"/>
      <c r="G8" s="9"/>
      <c r="H8" s="10"/>
      <c r="I8" s="948"/>
      <c r="J8" s="860" t="s">
        <v>4</v>
      </c>
      <c r="K8" s="879" t="s">
        <v>5</v>
      </c>
    </row>
    <row r="9" spans="2:12" ht="15.6" customHeight="1">
      <c r="B9" s="14" t="s">
        <v>6</v>
      </c>
      <c r="C9" s="15" t="s">
        <v>7</v>
      </c>
      <c r="D9" s="15"/>
      <c r="E9" s="15"/>
      <c r="F9" s="15"/>
      <c r="G9" s="15"/>
      <c r="H9" s="16" t="s">
        <v>8</v>
      </c>
      <c r="I9" s="947" t="s">
        <v>9</v>
      </c>
      <c r="J9" s="862" t="s">
        <v>8</v>
      </c>
      <c r="K9" s="880" t="s">
        <v>4</v>
      </c>
      <c r="L9" s="1139"/>
    </row>
    <row r="10" spans="2:12" ht="16.5" thickBot="1">
      <c r="B10" s="20"/>
      <c r="C10" s="21"/>
      <c r="D10" s="21"/>
      <c r="E10" s="21"/>
      <c r="F10" s="21"/>
      <c r="G10" s="21"/>
      <c r="H10" s="22"/>
      <c r="I10" s="946"/>
      <c r="J10" s="864" t="s">
        <v>10</v>
      </c>
      <c r="K10" s="881" t="s">
        <v>10</v>
      </c>
      <c r="L10" s="1140"/>
    </row>
    <row r="11" spans="2:12" ht="16.5" thickTop="1">
      <c r="B11" s="561"/>
      <c r="C11" s="562"/>
      <c r="D11" s="563"/>
      <c r="E11" s="563"/>
      <c r="F11" s="563"/>
      <c r="G11" s="945"/>
      <c r="I11" s="932"/>
      <c r="J11" s="454"/>
      <c r="K11" s="567"/>
      <c r="L11" s="944"/>
    </row>
    <row r="12" spans="2:12">
      <c r="B12" s="449" t="s">
        <v>339</v>
      </c>
      <c r="C12" s="568" t="s">
        <v>340</v>
      </c>
      <c r="D12" s="569"/>
      <c r="E12" s="569"/>
      <c r="F12" s="569"/>
      <c r="G12" s="575"/>
      <c r="I12" s="932"/>
      <c r="J12" s="454"/>
      <c r="K12" s="573"/>
      <c r="L12" s="924"/>
    </row>
    <row r="13" spans="2:12">
      <c r="B13" s="561">
        <v>1</v>
      </c>
      <c r="C13" s="434" t="str">
        <f>[80]Sheet1!$B$3</f>
        <v xml:space="preserve">Pembersihan awal dan Selama Proyek Berjalan </v>
      </c>
      <c r="G13" s="575"/>
      <c r="H13" s="559" t="s">
        <v>357</v>
      </c>
      <c r="I13" s="932">
        <v>1</v>
      </c>
      <c r="J13" s="454">
        <f>[80]Sheet1!$D$3</f>
        <v>1000000</v>
      </c>
      <c r="K13" s="455">
        <f>I13*J13</f>
        <v>1000000</v>
      </c>
      <c r="L13" s="929"/>
    </row>
    <row r="14" spans="2:12">
      <c r="B14" s="561">
        <f>B13+1</f>
        <v>2</v>
      </c>
      <c r="C14" s="434" t="str">
        <f>[80]Sheet1!$B$4</f>
        <v>Pembersihan akhir sampah dll</v>
      </c>
      <c r="G14" s="575"/>
      <c r="H14" s="559" t="s">
        <v>357</v>
      </c>
      <c r="I14" s="932">
        <v>1</v>
      </c>
      <c r="J14" s="454">
        <f>[80]Sheet1!$D$4</f>
        <v>1000000</v>
      </c>
      <c r="K14" s="455">
        <f>I14*J14</f>
        <v>1000000</v>
      </c>
      <c r="L14" s="929"/>
    </row>
    <row r="15" spans="2:12">
      <c r="B15" s="561">
        <f>B14+1</f>
        <v>3</v>
      </c>
      <c r="C15" s="1113" t="str">
        <f>[80]Sheet1!$B$5</f>
        <v>Survey</v>
      </c>
      <c r="G15" s="575"/>
      <c r="H15" s="559" t="s">
        <v>357</v>
      </c>
      <c r="I15" s="932">
        <v>1</v>
      </c>
      <c r="J15" s="454">
        <f>[80]Sheet1!$D$5</f>
        <v>2000000</v>
      </c>
      <c r="K15" s="455">
        <f>I15*J15</f>
        <v>2000000</v>
      </c>
      <c r="L15" s="929"/>
    </row>
    <row r="16" spans="2:12">
      <c r="B16" s="561">
        <f>B15+1</f>
        <v>4</v>
      </c>
      <c r="C16" s="1113" t="str">
        <f>[80]Sheet1!$B$6</f>
        <v>Pembuatan gambar teknis</v>
      </c>
      <c r="G16" s="575"/>
      <c r="H16" s="559" t="s">
        <v>357</v>
      </c>
      <c r="I16" s="932">
        <v>1</v>
      </c>
      <c r="J16" s="454">
        <f>[80]Sheet1!$D$6</f>
        <v>1000000</v>
      </c>
      <c r="K16" s="455">
        <f>I16*J16</f>
        <v>1000000</v>
      </c>
      <c r="L16" s="929"/>
    </row>
    <row r="17" spans="2:12">
      <c r="B17" s="561">
        <f>B16+1</f>
        <v>5</v>
      </c>
      <c r="C17" s="574"/>
      <c r="G17" s="575"/>
      <c r="I17" s="932">
        <v>0</v>
      </c>
      <c r="J17" s="454">
        <v>0</v>
      </c>
      <c r="K17" s="455">
        <f>I17*J17</f>
        <v>0</v>
      </c>
      <c r="L17" s="929"/>
    </row>
    <row r="18" spans="2:12">
      <c r="B18" s="576"/>
      <c r="C18" s="574"/>
      <c r="G18" s="575"/>
      <c r="I18" s="932"/>
      <c r="J18" s="454"/>
      <c r="K18" s="455"/>
      <c r="L18" s="929"/>
    </row>
    <row r="19" spans="2:12">
      <c r="B19" s="561"/>
      <c r="C19" s="574"/>
      <c r="G19" s="943"/>
      <c r="I19" s="932"/>
      <c r="J19" s="938" t="s">
        <v>348</v>
      </c>
      <c r="K19" s="578">
        <f>SUM(K13:K17)</f>
        <v>5000000</v>
      </c>
      <c r="L19" s="928"/>
    </row>
    <row r="20" spans="2:12">
      <c r="B20" s="449" t="s">
        <v>349</v>
      </c>
      <c r="C20" s="568" t="s">
        <v>1005</v>
      </c>
      <c r="D20" s="569"/>
      <c r="E20" s="569"/>
      <c r="F20" s="569"/>
      <c r="G20" s="575"/>
      <c r="I20" s="932"/>
      <c r="J20" s="454"/>
      <c r="K20" s="455"/>
      <c r="L20" s="924"/>
    </row>
    <row r="21" spans="2:12">
      <c r="B21" s="561">
        <v>1</v>
      </c>
      <c r="C21" s="1114" t="str">
        <f>[80]Sheet1!$B$8</f>
        <v> Kabel UTP</v>
      </c>
      <c r="G21" s="575"/>
      <c r="H21" s="272" t="s">
        <v>1006</v>
      </c>
      <c r="I21" s="932">
        <v>1</v>
      </c>
      <c r="J21" s="454">
        <f>[80]Sheet1!$D$8</f>
        <v>2000000</v>
      </c>
      <c r="K21" s="455">
        <f t="shared" ref="K21:K29" si="0">I21*J21</f>
        <v>2000000</v>
      </c>
      <c r="L21" s="929"/>
    </row>
    <row r="22" spans="2:12">
      <c r="B22" s="561">
        <f t="shared" ref="B22:B29" si="1">B21+1</f>
        <v>2</v>
      </c>
      <c r="C22" s="1114" t="str">
        <f>[80]Sheet1!$B$9</f>
        <v>Konektor RJ-45</v>
      </c>
      <c r="G22" s="575"/>
      <c r="H22" s="272" t="s">
        <v>1013</v>
      </c>
      <c r="I22" s="932">
        <v>1</v>
      </c>
      <c r="J22" s="454">
        <f>[80]Sheet1!$D$9</f>
        <v>1500000</v>
      </c>
      <c r="K22" s="455">
        <f t="shared" si="0"/>
        <v>1500000</v>
      </c>
      <c r="L22" s="929"/>
    </row>
    <row r="23" spans="2:12">
      <c r="B23" s="561">
        <f t="shared" si="1"/>
        <v>3</v>
      </c>
      <c r="C23" s="1114" t="str">
        <f>[80]Sheet1!$B$10</f>
        <v>Kartu Jaringan (LAN Card)</v>
      </c>
      <c r="G23" s="575"/>
      <c r="H23" s="272" t="s">
        <v>392</v>
      </c>
      <c r="I23" s="932">
        <v>1</v>
      </c>
      <c r="J23" s="454">
        <f>[80]Sheet1!$D$10</f>
        <v>1500000</v>
      </c>
      <c r="K23" s="455">
        <f t="shared" si="0"/>
        <v>1500000</v>
      </c>
      <c r="L23" s="929"/>
    </row>
    <row r="24" spans="2:12">
      <c r="B24" s="561">
        <f t="shared" si="1"/>
        <v>4</v>
      </c>
      <c r="C24" s="1114" t="str">
        <f>[80]Sheet1!$B$11</f>
        <v>Switch / Hub Managable</v>
      </c>
      <c r="G24" s="575"/>
      <c r="H24" s="272" t="s">
        <v>392</v>
      </c>
      <c r="I24" s="932">
        <v>1</v>
      </c>
      <c r="J24" s="454">
        <f>[80]Sheet1!$D$11</f>
        <v>10000000</v>
      </c>
      <c r="K24" s="455">
        <f t="shared" si="0"/>
        <v>10000000</v>
      </c>
      <c r="L24" s="929"/>
    </row>
    <row r="25" spans="2:12">
      <c r="B25" s="561">
        <f t="shared" si="1"/>
        <v>5</v>
      </c>
      <c r="C25" s="1114" t="str">
        <f>[80]Sheet1!$B$12</f>
        <v>Alat dukung</v>
      </c>
      <c r="G25" s="575"/>
      <c r="H25" s="272" t="s">
        <v>392</v>
      </c>
      <c r="I25" s="932">
        <v>1</v>
      </c>
      <c r="J25" s="454">
        <f>[80]Sheet1!$D$12</f>
        <v>500000</v>
      </c>
      <c r="K25" s="455">
        <f t="shared" si="0"/>
        <v>500000</v>
      </c>
      <c r="L25" s="929"/>
    </row>
    <row r="26" spans="2:12">
      <c r="B26" s="561">
        <f t="shared" si="1"/>
        <v>6</v>
      </c>
      <c r="C26" s="574"/>
      <c r="G26" s="575"/>
      <c r="I26" s="932">
        <v>0</v>
      </c>
      <c r="J26" s="454">
        <v>0</v>
      </c>
      <c r="K26" s="455">
        <f t="shared" si="0"/>
        <v>0</v>
      </c>
      <c r="L26" s="929"/>
    </row>
    <row r="27" spans="2:12">
      <c r="B27" s="561">
        <f t="shared" si="1"/>
        <v>7</v>
      </c>
      <c r="C27" s="574"/>
      <c r="G27" s="575"/>
      <c r="I27" s="932">
        <v>0</v>
      </c>
      <c r="J27" s="454">
        <v>0</v>
      </c>
      <c r="K27" s="455">
        <f t="shared" si="0"/>
        <v>0</v>
      </c>
      <c r="L27" s="929"/>
    </row>
    <row r="28" spans="2:12">
      <c r="B28" s="561">
        <f t="shared" si="1"/>
        <v>8</v>
      </c>
      <c r="C28" s="574"/>
      <c r="G28" s="575"/>
      <c r="I28" s="932">
        <v>0</v>
      </c>
      <c r="J28" s="454">
        <v>0</v>
      </c>
      <c r="K28" s="455">
        <f t="shared" si="0"/>
        <v>0</v>
      </c>
      <c r="L28" s="929"/>
    </row>
    <row r="29" spans="2:12">
      <c r="B29" s="561">
        <f t="shared" si="1"/>
        <v>9</v>
      </c>
      <c r="C29" s="574"/>
      <c r="G29" s="575"/>
      <c r="I29" s="932">
        <v>0</v>
      </c>
      <c r="J29" s="454">
        <v>0</v>
      </c>
      <c r="K29" s="455">
        <f t="shared" si="0"/>
        <v>0</v>
      </c>
      <c r="L29" s="929"/>
    </row>
    <row r="30" spans="2:12">
      <c r="B30" s="561"/>
      <c r="C30" s="574"/>
      <c r="G30" s="575"/>
      <c r="I30" s="932"/>
      <c r="J30" s="454"/>
      <c r="K30" s="455"/>
      <c r="L30" s="929"/>
    </row>
    <row r="31" spans="2:12">
      <c r="B31" s="561"/>
      <c r="C31" s="574"/>
      <c r="G31" s="943"/>
      <c r="I31" s="932"/>
      <c r="J31" s="938" t="s">
        <v>353</v>
      </c>
      <c r="K31" s="578">
        <f>SUM(K21:K30)</f>
        <v>15500000</v>
      </c>
      <c r="L31" s="928"/>
    </row>
    <row r="32" spans="2:12">
      <c r="B32" s="449" t="s">
        <v>354</v>
      </c>
      <c r="C32" s="568" t="s">
        <v>1012</v>
      </c>
      <c r="D32" s="569"/>
      <c r="E32" s="569"/>
      <c r="F32" s="569"/>
      <c r="G32" s="575"/>
      <c r="I32" s="932"/>
      <c r="J32" s="454"/>
      <c r="K32" s="455"/>
      <c r="L32" s="924"/>
    </row>
    <row r="33" spans="2:12">
      <c r="B33" s="561">
        <v>1</v>
      </c>
      <c r="C33" s="1114" t="str">
        <f>[80]Sheet1!$B$14</f>
        <v>Cctv indoor</v>
      </c>
      <c r="G33" s="575"/>
      <c r="H33" s="272" t="s">
        <v>392</v>
      </c>
      <c r="I33" s="932">
        <v>1</v>
      </c>
      <c r="J33" s="454">
        <f>[80]Sheet1!$D$14</f>
        <v>3500000</v>
      </c>
      <c r="K33" s="455">
        <f t="shared" ref="K33:K55" si="2">I33*J33</f>
        <v>3500000</v>
      </c>
      <c r="L33" s="929"/>
    </row>
    <row r="34" spans="2:12">
      <c r="B34" s="561">
        <f t="shared" ref="B34:B55" si="3">B33+1</f>
        <v>2</v>
      </c>
      <c r="C34" s="1114" t="str">
        <f>[80]Sheet1!$B$15</f>
        <v>Cctv outdoor</v>
      </c>
      <c r="G34" s="575"/>
      <c r="H34" s="272" t="s">
        <v>392</v>
      </c>
      <c r="I34" s="932">
        <v>1</v>
      </c>
      <c r="J34" s="454">
        <f>[80]Sheet1!$D$15</f>
        <v>3500000</v>
      </c>
      <c r="K34" s="455">
        <f t="shared" si="2"/>
        <v>3500000</v>
      </c>
      <c r="L34" s="929"/>
    </row>
    <row r="35" spans="2:12">
      <c r="B35" s="561">
        <f t="shared" si="3"/>
        <v>3</v>
      </c>
      <c r="C35" s="1114" t="str">
        <f>[80]Sheet1!$B$16</f>
        <v>DVR</v>
      </c>
      <c r="G35" s="575"/>
      <c r="H35" s="272" t="s">
        <v>392</v>
      </c>
      <c r="I35" s="932">
        <v>1</v>
      </c>
      <c r="J35" s="454">
        <f>[80]Sheet1!$D$16</f>
        <v>5000000</v>
      </c>
      <c r="K35" s="455">
        <f t="shared" si="2"/>
        <v>5000000</v>
      </c>
      <c r="L35" s="929"/>
    </row>
    <row r="36" spans="2:12">
      <c r="B36" s="561">
        <f t="shared" si="3"/>
        <v>4</v>
      </c>
      <c r="C36" s="1114" t="str">
        <f>[80]Sheet1!$B$17</f>
        <v>Adapter dan Power Supply.</v>
      </c>
      <c r="G36" s="575"/>
      <c r="H36" s="272" t="s">
        <v>392</v>
      </c>
      <c r="I36" s="932">
        <v>1</v>
      </c>
      <c r="J36" s="454">
        <f>[80]Sheet1!$D$17</f>
        <v>900000</v>
      </c>
      <c r="K36" s="455">
        <f t="shared" si="2"/>
        <v>900000</v>
      </c>
      <c r="L36" s="929"/>
    </row>
    <row r="37" spans="2:12">
      <c r="B37" s="561">
        <f t="shared" si="3"/>
        <v>5</v>
      </c>
      <c r="C37" s="1114" t="str">
        <f>[80]Sheet1!$B$18</f>
        <v>Kabel Power.</v>
      </c>
      <c r="G37" s="575"/>
      <c r="H37" s="272" t="s">
        <v>1006</v>
      </c>
      <c r="I37" s="932">
        <v>1</v>
      </c>
      <c r="J37" s="454">
        <f>[80]Sheet1!$D$18</f>
        <v>1000000</v>
      </c>
      <c r="K37" s="455">
        <f t="shared" si="2"/>
        <v>1000000</v>
      </c>
      <c r="L37" s="929"/>
    </row>
    <row r="38" spans="2:12">
      <c r="B38" s="561">
        <f t="shared" si="3"/>
        <v>6</v>
      </c>
      <c r="C38" s="1114" t="str">
        <f>[80]Sheet1!$B$19</f>
        <v>Crimp Kabel.</v>
      </c>
      <c r="G38" s="575"/>
      <c r="H38" s="272" t="s">
        <v>392</v>
      </c>
      <c r="I38" s="932">
        <v>1</v>
      </c>
      <c r="J38" s="454">
        <f>[80]Sheet1!$D$19</f>
        <v>2000000</v>
      </c>
      <c r="K38" s="455">
        <f t="shared" si="2"/>
        <v>2000000</v>
      </c>
      <c r="L38" s="929"/>
    </row>
    <row r="39" spans="2:12">
      <c r="B39" s="561">
        <f t="shared" si="3"/>
        <v>7</v>
      </c>
      <c r="C39" s="1114" t="str">
        <f>[80]Sheet1!$B$20</f>
        <v>Kabel Coaxial.</v>
      </c>
      <c r="G39" s="575"/>
      <c r="H39" s="272" t="s">
        <v>1006</v>
      </c>
      <c r="I39" s="932">
        <v>1</v>
      </c>
      <c r="J39" s="454">
        <f>[80]Sheet1!$D$20</f>
        <v>3500000</v>
      </c>
      <c r="K39" s="455">
        <f t="shared" si="2"/>
        <v>3500000</v>
      </c>
      <c r="L39" s="929"/>
    </row>
    <row r="40" spans="2:12">
      <c r="B40" s="561">
        <f t="shared" si="3"/>
        <v>8</v>
      </c>
      <c r="C40" s="1114" t="str">
        <f>[80]Sheet1!$B$21</f>
        <v>Konektor RF.</v>
      </c>
      <c r="G40" s="575"/>
      <c r="H40" s="272" t="s">
        <v>1013</v>
      </c>
      <c r="I40" s="932">
        <v>1</v>
      </c>
      <c r="J40" s="454">
        <f>[80]Sheet1!$D$21</f>
        <v>1000000</v>
      </c>
      <c r="K40" s="455">
        <f t="shared" si="2"/>
        <v>1000000</v>
      </c>
      <c r="L40" s="929"/>
    </row>
    <row r="41" spans="2:12">
      <c r="B41" s="561">
        <f t="shared" si="3"/>
        <v>9</v>
      </c>
      <c r="C41" s="574"/>
      <c r="G41" s="575"/>
      <c r="I41" s="932">
        <v>0</v>
      </c>
      <c r="J41" s="454">
        <v>0</v>
      </c>
      <c r="K41" s="455">
        <f t="shared" si="2"/>
        <v>0</v>
      </c>
      <c r="L41" s="929"/>
    </row>
    <row r="42" spans="2:12">
      <c r="B42" s="561">
        <f t="shared" si="3"/>
        <v>10</v>
      </c>
      <c r="C42" s="574"/>
      <c r="G42" s="575"/>
      <c r="I42" s="932">
        <v>0</v>
      </c>
      <c r="J42" s="454">
        <v>0</v>
      </c>
      <c r="K42" s="455">
        <f t="shared" si="2"/>
        <v>0</v>
      </c>
      <c r="L42" s="929"/>
    </row>
    <row r="43" spans="2:12">
      <c r="B43" s="561">
        <f t="shared" si="3"/>
        <v>11</v>
      </c>
      <c r="C43" s="574"/>
      <c r="G43" s="575"/>
      <c r="I43" s="932">
        <v>0</v>
      </c>
      <c r="J43" s="454">
        <v>0</v>
      </c>
      <c r="K43" s="455">
        <f t="shared" si="2"/>
        <v>0</v>
      </c>
      <c r="L43" s="929"/>
    </row>
    <row r="44" spans="2:12">
      <c r="B44" s="561">
        <f t="shared" si="3"/>
        <v>12</v>
      </c>
      <c r="C44" s="574"/>
      <c r="G44" s="575"/>
      <c r="I44" s="932">
        <v>0</v>
      </c>
      <c r="J44" s="454">
        <v>0</v>
      </c>
      <c r="K44" s="455">
        <f t="shared" si="2"/>
        <v>0</v>
      </c>
      <c r="L44" s="929"/>
    </row>
    <row r="45" spans="2:12">
      <c r="B45" s="561">
        <f t="shared" si="3"/>
        <v>13</v>
      </c>
      <c r="C45" s="574"/>
      <c r="G45" s="575"/>
      <c r="I45" s="932">
        <v>0</v>
      </c>
      <c r="J45" s="454">
        <v>0</v>
      </c>
      <c r="K45" s="455">
        <f t="shared" si="2"/>
        <v>0</v>
      </c>
      <c r="L45" s="929"/>
    </row>
    <row r="46" spans="2:12">
      <c r="B46" s="561">
        <f t="shared" si="3"/>
        <v>14</v>
      </c>
      <c r="C46" s="574"/>
      <c r="G46" s="575"/>
      <c r="I46" s="932">
        <v>0</v>
      </c>
      <c r="J46" s="454">
        <v>0</v>
      </c>
      <c r="K46" s="455">
        <f t="shared" si="2"/>
        <v>0</v>
      </c>
      <c r="L46" s="929"/>
    </row>
    <row r="47" spans="2:12">
      <c r="B47" s="561">
        <f t="shared" si="3"/>
        <v>15</v>
      </c>
      <c r="C47" s="574"/>
      <c r="G47" s="575"/>
      <c r="I47" s="932">
        <v>0</v>
      </c>
      <c r="J47" s="454">
        <v>0</v>
      </c>
      <c r="K47" s="455">
        <f t="shared" si="2"/>
        <v>0</v>
      </c>
      <c r="L47" s="929"/>
    </row>
    <row r="48" spans="2:12">
      <c r="B48" s="561">
        <f t="shared" si="3"/>
        <v>16</v>
      </c>
      <c r="C48" s="574"/>
      <c r="G48" s="575"/>
      <c r="I48" s="932">
        <v>0</v>
      </c>
      <c r="J48" s="454">
        <v>0</v>
      </c>
      <c r="K48" s="455">
        <f t="shared" si="2"/>
        <v>0</v>
      </c>
      <c r="L48" s="929"/>
    </row>
    <row r="49" spans="2:12">
      <c r="B49" s="561">
        <f t="shared" si="3"/>
        <v>17</v>
      </c>
      <c r="C49" s="574"/>
      <c r="G49" s="575"/>
      <c r="I49" s="932">
        <v>0</v>
      </c>
      <c r="J49" s="454">
        <v>0</v>
      </c>
      <c r="K49" s="455">
        <f t="shared" si="2"/>
        <v>0</v>
      </c>
      <c r="L49" s="929"/>
    </row>
    <row r="50" spans="2:12">
      <c r="B50" s="561">
        <f t="shared" si="3"/>
        <v>18</v>
      </c>
      <c r="C50" s="574"/>
      <c r="G50" s="575"/>
      <c r="I50" s="932">
        <v>0</v>
      </c>
      <c r="J50" s="454">
        <v>0</v>
      </c>
      <c r="K50" s="455">
        <f t="shared" si="2"/>
        <v>0</v>
      </c>
      <c r="L50" s="929"/>
    </row>
    <row r="51" spans="2:12">
      <c r="B51" s="561">
        <f t="shared" si="3"/>
        <v>19</v>
      </c>
      <c r="C51" s="574"/>
      <c r="G51" s="575"/>
      <c r="I51" s="932">
        <v>0</v>
      </c>
      <c r="J51" s="454">
        <v>0</v>
      </c>
      <c r="K51" s="455">
        <f t="shared" si="2"/>
        <v>0</v>
      </c>
      <c r="L51" s="929"/>
    </row>
    <row r="52" spans="2:12">
      <c r="B52" s="561">
        <f t="shared" si="3"/>
        <v>20</v>
      </c>
      <c r="C52" s="574"/>
      <c r="G52" s="575"/>
      <c r="I52" s="932">
        <v>0</v>
      </c>
      <c r="J52" s="454">
        <v>0</v>
      </c>
      <c r="K52" s="455">
        <f t="shared" si="2"/>
        <v>0</v>
      </c>
      <c r="L52" s="929"/>
    </row>
    <row r="53" spans="2:12">
      <c r="B53" s="561">
        <f t="shared" si="3"/>
        <v>21</v>
      </c>
      <c r="C53" s="574"/>
      <c r="G53" s="458"/>
      <c r="I53" s="932">
        <v>0</v>
      </c>
      <c r="J53" s="454">
        <v>0</v>
      </c>
      <c r="K53" s="455">
        <f t="shared" si="2"/>
        <v>0</v>
      </c>
      <c r="L53" s="929"/>
    </row>
    <row r="54" spans="2:12">
      <c r="B54" s="561">
        <f t="shared" si="3"/>
        <v>22</v>
      </c>
      <c r="C54" s="574"/>
      <c r="G54" s="458"/>
      <c r="I54" s="932">
        <v>0</v>
      </c>
      <c r="J54" s="454">
        <v>0</v>
      </c>
      <c r="K54" s="455">
        <f t="shared" si="2"/>
        <v>0</v>
      </c>
      <c r="L54" s="929"/>
    </row>
    <row r="55" spans="2:12">
      <c r="B55" s="561">
        <f t="shared" si="3"/>
        <v>23</v>
      </c>
      <c r="C55" s="574"/>
      <c r="G55" s="458"/>
      <c r="I55" s="932">
        <v>0</v>
      </c>
      <c r="J55" s="454">
        <v>0</v>
      </c>
      <c r="K55" s="455">
        <f t="shared" si="2"/>
        <v>0</v>
      </c>
      <c r="L55" s="929"/>
    </row>
    <row r="56" spans="2:12">
      <c r="B56" s="561"/>
      <c r="C56" s="574"/>
      <c r="G56" s="575"/>
      <c r="I56" s="932"/>
      <c r="J56" s="454"/>
      <c r="K56" s="455"/>
      <c r="L56" s="929"/>
    </row>
    <row r="57" spans="2:12">
      <c r="B57" s="561"/>
      <c r="C57" s="574"/>
      <c r="G57" s="943"/>
      <c r="I57" s="932"/>
      <c r="J57" s="938" t="s">
        <v>358</v>
      </c>
      <c r="K57" s="578">
        <f>SUM(K33:K55)</f>
        <v>20400000</v>
      </c>
      <c r="L57" s="928"/>
    </row>
    <row r="58" spans="2:12">
      <c r="B58" s="449" t="s">
        <v>359</v>
      </c>
      <c r="C58" s="568" t="s">
        <v>62</v>
      </c>
      <c r="D58" s="569"/>
      <c r="E58" s="569"/>
      <c r="F58" s="569"/>
      <c r="G58" s="575"/>
      <c r="I58" s="932"/>
      <c r="J58" s="454"/>
      <c r="K58" s="455"/>
      <c r="L58" s="924"/>
    </row>
    <row r="59" spans="2:12">
      <c r="B59" s="561">
        <v>1</v>
      </c>
      <c r="C59" s="574"/>
      <c r="G59" s="934"/>
      <c r="I59" s="940">
        <v>0</v>
      </c>
      <c r="J59" s="939">
        <v>0</v>
      </c>
      <c r="K59" s="455">
        <f>I59*J59</f>
        <v>0</v>
      </c>
      <c r="L59" s="929"/>
    </row>
    <row r="60" spans="2:12">
      <c r="B60" s="561"/>
      <c r="C60" s="574"/>
      <c r="G60" s="934"/>
      <c r="I60" s="940"/>
      <c r="J60" s="939"/>
      <c r="K60" s="455"/>
      <c r="L60" s="929"/>
    </row>
    <row r="61" spans="2:12">
      <c r="B61" s="561"/>
      <c r="C61" s="574"/>
      <c r="G61" s="934"/>
      <c r="I61" s="932"/>
      <c r="J61" s="938" t="s">
        <v>361</v>
      </c>
      <c r="K61" s="578">
        <f>SUM(K59:K59)</f>
        <v>0</v>
      </c>
      <c r="L61" s="928"/>
    </row>
    <row r="62" spans="2:12">
      <c r="B62" s="449" t="s">
        <v>362</v>
      </c>
      <c r="C62" s="568" t="s">
        <v>1009</v>
      </c>
      <c r="D62" s="569"/>
      <c r="E62" s="569"/>
      <c r="F62" s="569"/>
      <c r="G62" s="575"/>
      <c r="I62" s="932"/>
      <c r="J62" s="454"/>
      <c r="K62" s="455"/>
      <c r="L62" s="924"/>
    </row>
    <row r="63" spans="2:12">
      <c r="B63" s="561">
        <v>1</v>
      </c>
      <c r="C63" s="1114" t="str">
        <f>[80]Sheet1!$B$37</f>
        <v>Rumah Kabel</v>
      </c>
      <c r="G63" s="575"/>
      <c r="H63" s="272" t="s">
        <v>1014</v>
      </c>
      <c r="I63" s="942">
        <v>1</v>
      </c>
      <c r="J63" s="454">
        <f>[80]Sheet1!$D$37</f>
        <v>1500000</v>
      </c>
      <c r="K63" s="455">
        <f>I63*J63</f>
        <v>1500000</v>
      </c>
      <c r="L63" s="929"/>
    </row>
    <row r="64" spans="2:12">
      <c r="B64" s="561">
        <f>B63+1</f>
        <v>2</v>
      </c>
      <c r="C64" s="1114" t="str">
        <f>[80]Sheet1!$B$38</f>
        <v>paku-paku &amp; Klem</v>
      </c>
      <c r="G64" s="575"/>
      <c r="H64" s="272" t="s">
        <v>1015</v>
      </c>
      <c r="I64" s="932">
        <v>1</v>
      </c>
      <c r="J64" s="454">
        <f>[80]Sheet1!$D$38</f>
        <v>2000000</v>
      </c>
      <c r="K64" s="455">
        <f>I64*J64</f>
        <v>2000000</v>
      </c>
      <c r="L64" s="929"/>
    </row>
    <row r="65" spans="2:15">
      <c r="B65" s="561">
        <v>3</v>
      </c>
      <c r="C65" s="574"/>
      <c r="G65" s="575"/>
      <c r="I65" s="932">
        <v>0</v>
      </c>
      <c r="J65" s="454">
        <v>0</v>
      </c>
      <c r="K65" s="455">
        <f>I65*J65</f>
        <v>0</v>
      </c>
      <c r="L65" s="929"/>
    </row>
    <row r="66" spans="2:15">
      <c r="B66" s="561">
        <f>B65+1</f>
        <v>4</v>
      </c>
      <c r="C66" s="574"/>
      <c r="G66" s="575"/>
      <c r="I66" s="932">
        <v>0</v>
      </c>
      <c r="J66" s="454">
        <v>0</v>
      </c>
      <c r="K66" s="455">
        <f>I66*J66</f>
        <v>0</v>
      </c>
      <c r="L66" s="929"/>
    </row>
    <row r="67" spans="2:15">
      <c r="B67" s="561"/>
      <c r="C67" s="574"/>
      <c r="G67" s="575"/>
      <c r="I67" s="932"/>
      <c r="J67" s="454"/>
      <c r="K67" s="455"/>
      <c r="L67" s="929"/>
    </row>
    <row r="68" spans="2:15">
      <c r="B68" s="561"/>
      <c r="C68" s="574"/>
      <c r="G68" s="934"/>
      <c r="I68" s="932"/>
      <c r="J68" s="938" t="s">
        <v>365</v>
      </c>
      <c r="K68" s="578">
        <f>SUM(K63:K66)</f>
        <v>3500000</v>
      </c>
      <c r="L68" s="928"/>
      <c r="O68" s="585"/>
    </row>
    <row r="69" spans="2:15">
      <c r="B69" s="449" t="s">
        <v>366</v>
      </c>
      <c r="C69" s="568" t="s">
        <v>1008</v>
      </c>
      <c r="D69" s="569"/>
      <c r="E69" s="569"/>
      <c r="F69" s="569"/>
      <c r="G69" s="575"/>
      <c r="I69" s="932"/>
      <c r="J69" s="454"/>
      <c r="K69" s="455"/>
      <c r="L69" s="924"/>
    </row>
    <row r="70" spans="2:15">
      <c r="B70" s="561">
        <v>1</v>
      </c>
      <c r="C70" s="1114" t="str">
        <f>[80]Sheet1!$B$23</f>
        <v>Acess Point</v>
      </c>
      <c r="G70" s="575"/>
      <c r="H70" s="272" t="s">
        <v>392</v>
      </c>
      <c r="I70" s="932">
        <v>1</v>
      </c>
      <c r="J70" s="454">
        <f>[80]Sheet1!$D$23</f>
        <v>8500000</v>
      </c>
      <c r="K70" s="455">
        <f t="shared" ref="K70:K88" si="4">I70*J70</f>
        <v>8500000</v>
      </c>
      <c r="L70" s="929"/>
    </row>
    <row r="71" spans="2:15">
      <c r="B71" s="561">
        <f t="shared" ref="B71:B88" si="5">B70+1</f>
        <v>2</v>
      </c>
      <c r="C71" s="1114" t="str">
        <f>[80]Sheet1!$B$24</f>
        <v>Antena Omni</v>
      </c>
      <c r="G71" s="575"/>
      <c r="H71" s="272" t="s">
        <v>392</v>
      </c>
      <c r="I71" s="932">
        <v>1</v>
      </c>
      <c r="J71" s="454">
        <f>[80]Sheet1!$D$24</f>
        <v>10000000</v>
      </c>
      <c r="K71" s="455">
        <f t="shared" si="4"/>
        <v>10000000</v>
      </c>
      <c r="L71" s="929"/>
    </row>
    <row r="72" spans="2:15">
      <c r="B72" s="561">
        <f t="shared" si="5"/>
        <v>3</v>
      </c>
      <c r="C72" s="1114" t="str">
        <f>[80]Sheet1!$B$25</f>
        <v>Kabel Pigtail/Kabel Jumper</v>
      </c>
      <c r="G72" s="575"/>
      <c r="H72" s="272" t="s">
        <v>1006</v>
      </c>
      <c r="I72" s="932">
        <v>1</v>
      </c>
      <c r="J72" s="454">
        <f>[80]Sheet1!$D$25</f>
        <v>500000</v>
      </c>
      <c r="K72" s="455">
        <f t="shared" si="4"/>
        <v>500000</v>
      </c>
      <c r="L72" s="929"/>
    </row>
    <row r="73" spans="2:15">
      <c r="B73" s="561">
        <f t="shared" si="5"/>
        <v>4</v>
      </c>
      <c r="C73" s="1114" t="str">
        <f>[80]Sheet1!$B$26</f>
        <v>POE (Power Over Ethernet)</v>
      </c>
      <c r="G73" s="575"/>
      <c r="H73" s="272" t="s">
        <v>392</v>
      </c>
      <c r="I73" s="932">
        <v>1</v>
      </c>
      <c r="J73" s="454">
        <f>[80]Sheet1!$D$26</f>
        <v>2000000</v>
      </c>
      <c r="K73" s="455">
        <f t="shared" si="4"/>
        <v>2000000</v>
      </c>
      <c r="L73" s="929"/>
    </row>
    <row r="74" spans="2:15">
      <c r="B74" s="561">
        <f t="shared" si="5"/>
        <v>5</v>
      </c>
      <c r="C74" s="1114" t="str">
        <f>[80]Sheet1!$B$27</f>
        <v>Kabel UTP/STP</v>
      </c>
      <c r="G74" s="575"/>
      <c r="H74" s="272" t="s">
        <v>1006</v>
      </c>
      <c r="I74" s="932">
        <v>1</v>
      </c>
      <c r="J74" s="454">
        <f>[80]Sheet1!$D$27</f>
        <v>3000000</v>
      </c>
      <c r="K74" s="455">
        <f t="shared" si="4"/>
        <v>3000000</v>
      </c>
      <c r="L74" s="929"/>
    </row>
    <row r="75" spans="2:15">
      <c r="B75" s="561">
        <f t="shared" si="5"/>
        <v>6</v>
      </c>
      <c r="C75" s="1114" t="str">
        <f>[80]Sheet1!$B$28</f>
        <v>Penangkal Petir (Lightning Arrester)</v>
      </c>
      <c r="G75" s="575"/>
      <c r="H75" s="272" t="s">
        <v>392</v>
      </c>
      <c r="I75" s="932">
        <v>1</v>
      </c>
      <c r="J75" s="454">
        <f>[80]Sheet1!$D$28</f>
        <v>3000000</v>
      </c>
      <c r="K75" s="455">
        <f t="shared" si="4"/>
        <v>3000000</v>
      </c>
      <c r="L75" s="929"/>
    </row>
    <row r="76" spans="2:15">
      <c r="B76" s="561">
        <f t="shared" si="5"/>
        <v>7</v>
      </c>
      <c r="C76" s="574"/>
      <c r="G76" s="575"/>
      <c r="I76" s="932">
        <v>0</v>
      </c>
      <c r="J76" s="454">
        <v>0</v>
      </c>
      <c r="K76" s="455">
        <f t="shared" si="4"/>
        <v>0</v>
      </c>
      <c r="L76" s="929"/>
    </row>
    <row r="77" spans="2:15">
      <c r="B77" s="561">
        <f t="shared" si="5"/>
        <v>8</v>
      </c>
      <c r="C77" s="574"/>
      <c r="G77" s="575"/>
      <c r="I77" s="932">
        <v>0</v>
      </c>
      <c r="J77" s="454">
        <v>0</v>
      </c>
      <c r="K77" s="455">
        <f t="shared" si="4"/>
        <v>0</v>
      </c>
      <c r="L77" s="929"/>
    </row>
    <row r="78" spans="2:15">
      <c r="B78" s="561">
        <f t="shared" si="5"/>
        <v>9</v>
      </c>
      <c r="C78" s="574"/>
      <c r="G78" s="575"/>
      <c r="I78" s="932">
        <v>0</v>
      </c>
      <c r="J78" s="454">
        <v>0</v>
      </c>
      <c r="K78" s="455">
        <f t="shared" si="4"/>
        <v>0</v>
      </c>
      <c r="L78" s="929"/>
    </row>
    <row r="79" spans="2:15">
      <c r="B79" s="561">
        <f t="shared" si="5"/>
        <v>10</v>
      </c>
      <c r="C79" s="574"/>
      <c r="G79" s="575"/>
      <c r="I79" s="932">
        <v>0</v>
      </c>
      <c r="J79" s="454">
        <v>0</v>
      </c>
      <c r="K79" s="455">
        <f t="shared" si="4"/>
        <v>0</v>
      </c>
      <c r="L79" s="929"/>
    </row>
    <row r="80" spans="2:15">
      <c r="B80" s="561">
        <f t="shared" si="5"/>
        <v>11</v>
      </c>
      <c r="C80" s="574"/>
      <c r="G80" s="575"/>
      <c r="I80" s="932">
        <v>0</v>
      </c>
      <c r="J80" s="454">
        <v>0</v>
      </c>
      <c r="K80" s="455">
        <f t="shared" si="4"/>
        <v>0</v>
      </c>
      <c r="L80" s="929"/>
    </row>
    <row r="81" spans="2:12">
      <c r="B81" s="561">
        <f t="shared" si="5"/>
        <v>12</v>
      </c>
      <c r="C81" s="574"/>
      <c r="G81" s="575"/>
      <c r="I81" s="932">
        <v>0</v>
      </c>
      <c r="J81" s="454">
        <v>0</v>
      </c>
      <c r="K81" s="455">
        <f t="shared" si="4"/>
        <v>0</v>
      </c>
      <c r="L81" s="929"/>
    </row>
    <row r="82" spans="2:12">
      <c r="B82" s="561">
        <f t="shared" si="5"/>
        <v>13</v>
      </c>
      <c r="C82" s="574"/>
      <c r="G82" s="575"/>
      <c r="I82" s="932">
        <v>0</v>
      </c>
      <c r="J82" s="454">
        <v>0</v>
      </c>
      <c r="K82" s="455">
        <f t="shared" si="4"/>
        <v>0</v>
      </c>
      <c r="L82" s="929"/>
    </row>
    <row r="83" spans="2:12">
      <c r="B83" s="561">
        <f t="shared" si="5"/>
        <v>14</v>
      </c>
      <c r="C83" s="574"/>
      <c r="G83" s="575"/>
      <c r="I83" s="932">
        <v>0</v>
      </c>
      <c r="J83" s="454">
        <v>0</v>
      </c>
      <c r="K83" s="455">
        <f t="shared" si="4"/>
        <v>0</v>
      </c>
      <c r="L83" s="929"/>
    </row>
    <row r="84" spans="2:12">
      <c r="B84" s="561">
        <f t="shared" si="5"/>
        <v>15</v>
      </c>
      <c r="C84" s="574"/>
      <c r="G84" s="575"/>
      <c r="I84" s="932">
        <v>0</v>
      </c>
      <c r="J84" s="454">
        <v>0</v>
      </c>
      <c r="K84" s="455">
        <f t="shared" si="4"/>
        <v>0</v>
      </c>
      <c r="L84" s="929"/>
    </row>
    <row r="85" spans="2:12">
      <c r="B85" s="561">
        <f t="shared" si="5"/>
        <v>16</v>
      </c>
      <c r="C85" s="574"/>
      <c r="G85" s="575"/>
      <c r="I85" s="932">
        <v>0</v>
      </c>
      <c r="J85" s="454">
        <v>0</v>
      </c>
      <c r="K85" s="455">
        <f t="shared" si="4"/>
        <v>0</v>
      </c>
      <c r="L85" s="929"/>
    </row>
    <row r="86" spans="2:12">
      <c r="B86" s="561">
        <f t="shared" si="5"/>
        <v>17</v>
      </c>
      <c r="C86" s="574"/>
      <c r="G86" s="575"/>
      <c r="I86" s="932">
        <v>0</v>
      </c>
      <c r="J86" s="454">
        <v>0</v>
      </c>
      <c r="K86" s="455">
        <f t="shared" si="4"/>
        <v>0</v>
      </c>
      <c r="L86" s="929"/>
    </row>
    <row r="87" spans="2:12">
      <c r="B87" s="561">
        <f t="shared" si="5"/>
        <v>18</v>
      </c>
      <c r="C87" s="574"/>
      <c r="G87" s="575"/>
      <c r="I87" s="932">
        <v>0</v>
      </c>
      <c r="J87" s="454">
        <v>0</v>
      </c>
      <c r="K87" s="455">
        <f t="shared" si="4"/>
        <v>0</v>
      </c>
      <c r="L87" s="929"/>
    </row>
    <row r="88" spans="2:12">
      <c r="B88" s="561">
        <f t="shared" si="5"/>
        <v>19</v>
      </c>
      <c r="C88" s="574"/>
      <c r="G88" s="575"/>
      <c r="I88" s="932">
        <v>0</v>
      </c>
      <c r="J88" s="454">
        <v>0</v>
      </c>
      <c r="K88" s="455">
        <f t="shared" si="4"/>
        <v>0</v>
      </c>
      <c r="L88" s="929"/>
    </row>
    <row r="89" spans="2:12">
      <c r="B89" s="561"/>
      <c r="C89" s="574"/>
      <c r="G89" s="575"/>
      <c r="I89" s="932"/>
      <c r="J89" s="454"/>
      <c r="K89" s="455"/>
      <c r="L89" s="929"/>
    </row>
    <row r="90" spans="2:12">
      <c r="B90" s="561"/>
      <c r="C90" s="574"/>
      <c r="G90" s="934"/>
      <c r="I90" s="932"/>
      <c r="J90" s="938" t="s">
        <v>368</v>
      </c>
      <c r="K90" s="578">
        <f>SUM(K70:K88)</f>
        <v>27000000</v>
      </c>
      <c r="L90" s="928"/>
    </row>
    <row r="91" spans="2:12">
      <c r="B91" s="449" t="s">
        <v>369</v>
      </c>
      <c r="C91" s="568" t="s">
        <v>62</v>
      </c>
      <c r="D91" s="569"/>
      <c r="E91" s="569"/>
      <c r="F91" s="569"/>
      <c r="G91" s="575"/>
      <c r="I91" s="932"/>
      <c r="J91" s="454"/>
      <c r="K91" s="455"/>
      <c r="L91" s="924"/>
    </row>
    <row r="92" spans="2:12">
      <c r="B92" s="576">
        <v>1</v>
      </c>
      <c r="C92" s="574"/>
      <c r="G92" s="575"/>
      <c r="I92" s="932">
        <v>0</v>
      </c>
      <c r="J92" s="454">
        <v>0</v>
      </c>
      <c r="K92" s="455">
        <f>I92*J92</f>
        <v>0</v>
      </c>
      <c r="L92" s="929"/>
    </row>
    <row r="93" spans="2:12">
      <c r="B93" s="561">
        <f>B92+1</f>
        <v>2</v>
      </c>
      <c r="C93" s="574"/>
      <c r="G93" s="575"/>
      <c r="I93" s="932">
        <v>0</v>
      </c>
      <c r="J93" s="454">
        <v>0</v>
      </c>
      <c r="K93" s="455">
        <f>I93*J93</f>
        <v>0</v>
      </c>
      <c r="L93" s="929"/>
    </row>
    <row r="94" spans="2:12">
      <c r="B94" s="561"/>
      <c r="C94" s="574"/>
      <c r="G94" s="575"/>
      <c r="I94" s="932"/>
      <c r="J94" s="454"/>
      <c r="K94" s="455"/>
      <c r="L94" s="929"/>
    </row>
    <row r="95" spans="2:12">
      <c r="B95" s="561"/>
      <c r="C95" s="574"/>
      <c r="G95" s="934"/>
      <c r="I95" s="932"/>
      <c r="J95" s="938" t="s">
        <v>371</v>
      </c>
      <c r="K95" s="578">
        <f>SUM(K92:K93)</f>
        <v>0</v>
      </c>
      <c r="L95" s="928"/>
    </row>
    <row r="96" spans="2:12">
      <c r="B96" s="561"/>
      <c r="C96" s="574"/>
      <c r="G96" s="934"/>
      <c r="I96" s="932"/>
      <c r="J96" s="454"/>
      <c r="K96" s="578"/>
      <c r="L96" s="924"/>
    </row>
    <row r="97" spans="1:19">
      <c r="B97" s="449" t="s">
        <v>372</v>
      </c>
      <c r="C97" s="568" t="s">
        <v>1010</v>
      </c>
      <c r="D97" s="569"/>
      <c r="E97" s="569"/>
      <c r="F97" s="569"/>
      <c r="G97" s="575"/>
      <c r="I97" s="932"/>
      <c r="J97" s="454"/>
      <c r="K97" s="455"/>
      <c r="L97" s="924"/>
    </row>
    <row r="98" spans="1:19">
      <c r="B98" s="561">
        <v>1</v>
      </c>
      <c r="C98" s="434" t="str">
        <f>[80]Sheet1!$B$30</f>
        <v>Kabel Telepon outdoor</v>
      </c>
      <c r="G98" s="575"/>
      <c r="H98" s="272" t="s">
        <v>1006</v>
      </c>
      <c r="I98" s="932">
        <v>1</v>
      </c>
      <c r="J98" s="454">
        <f>[80]Sheet1!$D$30</f>
        <v>4500000</v>
      </c>
      <c r="K98" s="455">
        <f t="shared" ref="K98:K105" si="6">I98*J98</f>
        <v>4500000</v>
      </c>
      <c r="L98" s="929"/>
    </row>
    <row r="99" spans="1:19">
      <c r="B99" s="561">
        <f>B98+1</f>
        <v>2</v>
      </c>
      <c r="C99" s="1114" t="str">
        <f>[80]Sheet1!$B$31</f>
        <v>Kabel Telepon Indoor</v>
      </c>
      <c r="G99" s="575"/>
      <c r="H99" s="272" t="s">
        <v>1006</v>
      </c>
      <c r="I99" s="932">
        <v>1</v>
      </c>
      <c r="J99" s="454">
        <f>BQResto400!J74</f>
        <v>4000000</v>
      </c>
      <c r="K99" s="455">
        <f t="shared" si="6"/>
        <v>4000000</v>
      </c>
      <c r="L99" s="929"/>
    </row>
    <row r="100" spans="1:19">
      <c r="B100" s="561">
        <f>B99+1</f>
        <v>3</v>
      </c>
      <c r="C100" s="1114" t="str">
        <f>[80]Sheet1!$B$32</f>
        <v>Box Telepon Konektor</v>
      </c>
      <c r="D100" s="587"/>
      <c r="E100" s="587"/>
      <c r="F100" s="587"/>
      <c r="G100" s="575"/>
      <c r="H100" s="272" t="s">
        <v>392</v>
      </c>
      <c r="I100" s="932">
        <v>1</v>
      </c>
      <c r="J100" s="454">
        <f>BQResto400!J75</f>
        <v>6500000</v>
      </c>
      <c r="K100" s="455">
        <f t="shared" si="6"/>
        <v>6500000</v>
      </c>
      <c r="L100" s="929"/>
    </row>
    <row r="101" spans="1:19">
      <c r="B101" s="561">
        <f t="shared" ref="B101:B105" si="7">B100+1</f>
        <v>4</v>
      </c>
      <c r="C101" s="1114" t="str">
        <f>[80]Sheet1!$B$33</f>
        <v>Kabel Protection ( Ugreen Cable Zipper Protection )</v>
      </c>
      <c r="G101" s="575"/>
      <c r="H101" s="272" t="s">
        <v>813</v>
      </c>
      <c r="I101" s="932">
        <v>1</v>
      </c>
      <c r="J101" s="454">
        <f>BQResto400!J76</f>
        <v>200000</v>
      </c>
      <c r="K101" s="455">
        <f t="shared" si="6"/>
        <v>200000</v>
      </c>
      <c r="L101" s="924"/>
    </row>
    <row r="102" spans="1:19">
      <c r="B102" s="561">
        <f t="shared" si="7"/>
        <v>5</v>
      </c>
      <c r="C102" s="1114" t="str">
        <f>[80]Sheet1!$B$34</f>
        <v>Paku Klem</v>
      </c>
      <c r="G102" s="575"/>
      <c r="H102" s="272" t="s">
        <v>1015</v>
      </c>
      <c r="I102" s="932">
        <v>1</v>
      </c>
      <c r="J102" s="454">
        <f>[80]Sheet1!$D$34</f>
        <v>500000</v>
      </c>
      <c r="K102" s="455">
        <f t="shared" si="6"/>
        <v>500000</v>
      </c>
      <c r="L102" s="929"/>
    </row>
    <row r="103" spans="1:19">
      <c r="B103" s="561">
        <f t="shared" si="7"/>
        <v>6</v>
      </c>
      <c r="C103" s="1114" t="str">
        <f>[80]Sheet1!$B$35</f>
        <v>Peralatan kerja pabx</v>
      </c>
      <c r="G103" s="575"/>
      <c r="H103" s="272" t="s">
        <v>392</v>
      </c>
      <c r="I103" s="932">
        <v>1</v>
      </c>
      <c r="J103" s="454">
        <f>[80]Sheet1!$D$35</f>
        <v>2000000</v>
      </c>
      <c r="K103" s="455">
        <f t="shared" si="6"/>
        <v>2000000</v>
      </c>
      <c r="L103" s="929"/>
    </row>
    <row r="104" spans="1:19">
      <c r="B104" s="561">
        <f t="shared" si="7"/>
        <v>7</v>
      </c>
      <c r="C104" s="574"/>
      <c r="G104" s="575"/>
      <c r="I104" s="932">
        <v>0</v>
      </c>
      <c r="J104" s="454">
        <v>0</v>
      </c>
      <c r="K104" s="455">
        <f t="shared" si="6"/>
        <v>0</v>
      </c>
      <c r="L104" s="929"/>
    </row>
    <row r="105" spans="1:19">
      <c r="B105" s="561">
        <f t="shared" si="7"/>
        <v>8</v>
      </c>
      <c r="C105" s="574"/>
      <c r="G105" s="575"/>
      <c r="I105" s="932">
        <v>0</v>
      </c>
      <c r="J105" s="454">
        <v>0</v>
      </c>
      <c r="K105" s="455">
        <f t="shared" si="6"/>
        <v>0</v>
      </c>
      <c r="L105" s="929"/>
    </row>
    <row r="106" spans="1:19">
      <c r="B106" s="561"/>
      <c r="C106" s="574"/>
      <c r="G106" s="575"/>
      <c r="I106" s="932"/>
      <c r="J106" s="454"/>
      <c r="K106" s="455"/>
      <c r="L106" s="929"/>
    </row>
    <row r="107" spans="1:19">
      <c r="B107" s="561"/>
      <c r="C107" s="574"/>
      <c r="G107" s="934"/>
      <c r="I107" s="932"/>
      <c r="J107" s="938" t="s">
        <v>377</v>
      </c>
      <c r="K107" s="578">
        <f>SUM(K98:K106)</f>
        <v>17700000</v>
      </c>
      <c r="L107" s="928"/>
    </row>
    <row r="108" spans="1:19">
      <c r="A108" s="587"/>
      <c r="B108" s="449" t="s">
        <v>378</v>
      </c>
      <c r="C108" s="568" t="s">
        <v>62</v>
      </c>
      <c r="D108" s="569"/>
      <c r="E108" s="569"/>
      <c r="F108" s="569"/>
      <c r="G108" s="575"/>
      <c r="I108" s="932"/>
      <c r="J108" s="454"/>
      <c r="K108" s="455"/>
      <c r="L108" s="924"/>
    </row>
    <row r="109" spans="1:19">
      <c r="B109" s="561">
        <v>1</v>
      </c>
      <c r="C109" s="574"/>
      <c r="G109" s="575"/>
      <c r="I109" s="932">
        <v>0</v>
      </c>
      <c r="J109" s="454">
        <v>0</v>
      </c>
      <c r="K109" s="455">
        <f t="shared" ref="K109:K119" si="8">I109*J109</f>
        <v>0</v>
      </c>
      <c r="L109" s="929"/>
      <c r="M109" s="574" t="s">
        <v>870</v>
      </c>
      <c r="P109" s="559" t="s">
        <v>254</v>
      </c>
      <c r="Q109" s="932">
        <v>32.5</v>
      </c>
      <c r="R109" s="454">
        <v>140000</v>
      </c>
      <c r="S109" s="455">
        <f t="shared" ref="S109:S125" si="9">Q109*R109</f>
        <v>4550000</v>
      </c>
    </row>
    <row r="110" spans="1:19">
      <c r="B110" s="561">
        <f t="shared" ref="B110:B119" si="10">B109+1</f>
        <v>2</v>
      </c>
      <c r="C110" s="574"/>
      <c r="G110" s="575"/>
      <c r="I110" s="932">
        <v>0</v>
      </c>
      <c r="J110" s="454">
        <v>0</v>
      </c>
      <c r="K110" s="455">
        <f t="shared" si="8"/>
        <v>0</v>
      </c>
      <c r="L110" s="929"/>
      <c r="M110" s="574" t="s">
        <v>776</v>
      </c>
      <c r="P110" s="559" t="s">
        <v>14</v>
      </c>
      <c r="Q110" s="932">
        <v>22.5</v>
      </c>
      <c r="R110" s="454">
        <v>500000</v>
      </c>
      <c r="S110" s="455">
        <f t="shared" si="9"/>
        <v>11250000</v>
      </c>
    </row>
    <row r="111" spans="1:19">
      <c r="B111" s="561">
        <f t="shared" si="10"/>
        <v>3</v>
      </c>
      <c r="C111" s="574"/>
      <c r="G111" s="575"/>
      <c r="I111" s="932">
        <v>0</v>
      </c>
      <c r="J111" s="454">
        <v>0</v>
      </c>
      <c r="K111" s="455">
        <f t="shared" si="8"/>
        <v>0</v>
      </c>
      <c r="L111" s="929"/>
      <c r="M111" s="574" t="s">
        <v>869</v>
      </c>
      <c r="P111" s="559" t="s">
        <v>254</v>
      </c>
      <c r="Q111" s="932">
        <v>14</v>
      </c>
      <c r="R111" s="454">
        <v>140000</v>
      </c>
      <c r="S111" s="455">
        <f t="shared" si="9"/>
        <v>1960000</v>
      </c>
    </row>
    <row r="112" spans="1:19">
      <c r="B112" s="561">
        <f t="shared" si="10"/>
        <v>4</v>
      </c>
      <c r="C112" s="574"/>
      <c r="G112" s="575"/>
      <c r="I112" s="932">
        <v>0</v>
      </c>
      <c r="J112" s="454">
        <v>0</v>
      </c>
      <c r="K112" s="455">
        <f t="shared" si="8"/>
        <v>0</v>
      </c>
      <c r="L112" s="929"/>
      <c r="M112" s="574" t="s">
        <v>868</v>
      </c>
      <c r="P112" s="559" t="s">
        <v>14</v>
      </c>
      <c r="Q112" s="932">
        <v>3</v>
      </c>
      <c r="R112" s="454">
        <v>500000</v>
      </c>
      <c r="S112" s="455">
        <f t="shared" si="9"/>
        <v>1500000</v>
      </c>
    </row>
    <row r="113" spans="1:19">
      <c r="B113" s="561">
        <f t="shared" si="10"/>
        <v>5</v>
      </c>
      <c r="C113" s="574"/>
      <c r="G113" s="575"/>
      <c r="I113" s="932">
        <v>0</v>
      </c>
      <c r="J113" s="454">
        <v>0</v>
      </c>
      <c r="K113" s="455">
        <f t="shared" si="8"/>
        <v>0</v>
      </c>
      <c r="L113" s="929"/>
      <c r="M113" s="574" t="s">
        <v>867</v>
      </c>
      <c r="P113" s="559" t="s">
        <v>254</v>
      </c>
      <c r="Q113" s="932">
        <f>2*24.2</f>
        <v>48.4</v>
      </c>
      <c r="R113" s="454">
        <v>140000</v>
      </c>
      <c r="S113" s="455">
        <f t="shared" si="9"/>
        <v>6776000</v>
      </c>
    </row>
    <row r="114" spans="1:19">
      <c r="B114" s="561">
        <f t="shared" si="10"/>
        <v>6</v>
      </c>
      <c r="C114" s="574"/>
      <c r="G114" s="575"/>
      <c r="I114" s="932">
        <v>0</v>
      </c>
      <c r="J114" s="454">
        <v>0</v>
      </c>
      <c r="K114" s="455">
        <f t="shared" si="8"/>
        <v>0</v>
      </c>
      <c r="L114" s="929"/>
      <c r="M114" s="574" t="s">
        <v>865</v>
      </c>
      <c r="P114" s="559" t="s">
        <v>14</v>
      </c>
      <c r="Q114" s="932">
        <f>5.5*2*2</f>
        <v>22</v>
      </c>
      <c r="R114" s="454">
        <v>500000</v>
      </c>
      <c r="S114" s="455">
        <f t="shared" si="9"/>
        <v>11000000</v>
      </c>
    </row>
    <row r="115" spans="1:19">
      <c r="B115" s="561">
        <f t="shared" si="10"/>
        <v>7</v>
      </c>
      <c r="C115" s="574"/>
      <c r="G115" s="575"/>
      <c r="I115" s="932">
        <v>0</v>
      </c>
      <c r="J115" s="454">
        <v>0</v>
      </c>
      <c r="K115" s="455">
        <f t="shared" si="8"/>
        <v>0</v>
      </c>
      <c r="L115" s="929"/>
      <c r="M115" s="574" t="s">
        <v>866</v>
      </c>
      <c r="P115" s="559" t="s">
        <v>254</v>
      </c>
      <c r="Q115" s="932">
        <f>24.2</f>
        <v>24.2</v>
      </c>
      <c r="R115" s="454">
        <v>140000</v>
      </c>
      <c r="S115" s="455">
        <f t="shared" si="9"/>
        <v>3388000</v>
      </c>
    </row>
    <row r="116" spans="1:19">
      <c r="B116" s="561">
        <f t="shared" si="10"/>
        <v>8</v>
      </c>
      <c r="C116" s="574"/>
      <c r="G116" s="575"/>
      <c r="I116" s="932">
        <v>0</v>
      </c>
      <c r="J116" s="454">
        <v>0</v>
      </c>
      <c r="K116" s="455">
        <f t="shared" si="8"/>
        <v>0</v>
      </c>
      <c r="L116" s="929"/>
      <c r="M116" s="574" t="s">
        <v>865</v>
      </c>
      <c r="P116" s="559" t="s">
        <v>14</v>
      </c>
      <c r="Q116" s="932">
        <f>5.5*2</f>
        <v>11</v>
      </c>
      <c r="R116" s="454">
        <v>500000</v>
      </c>
      <c r="S116" s="455">
        <f t="shared" si="9"/>
        <v>5500000</v>
      </c>
    </row>
    <row r="117" spans="1:19">
      <c r="B117" s="561">
        <f t="shared" si="10"/>
        <v>9</v>
      </c>
      <c r="C117" s="574"/>
      <c r="G117" s="575"/>
      <c r="I117" s="932">
        <v>0</v>
      </c>
      <c r="J117" s="454">
        <v>0</v>
      </c>
      <c r="K117" s="455">
        <f t="shared" si="8"/>
        <v>0</v>
      </c>
      <c r="L117" s="929"/>
      <c r="M117" s="574" t="s">
        <v>864</v>
      </c>
      <c r="P117" s="559" t="s">
        <v>254</v>
      </c>
      <c r="Q117" s="932">
        <v>30</v>
      </c>
      <c r="R117" s="454">
        <v>140000</v>
      </c>
      <c r="S117" s="455">
        <f t="shared" si="9"/>
        <v>4200000</v>
      </c>
    </row>
    <row r="118" spans="1:19">
      <c r="B118" s="561">
        <f t="shared" si="10"/>
        <v>10</v>
      </c>
      <c r="C118" s="574"/>
      <c r="G118" s="575"/>
      <c r="I118" s="932">
        <v>0</v>
      </c>
      <c r="J118" s="454">
        <v>0</v>
      </c>
      <c r="K118" s="455">
        <f t="shared" si="8"/>
        <v>0</v>
      </c>
      <c r="L118" s="929"/>
      <c r="M118" s="574" t="s">
        <v>861</v>
      </c>
      <c r="P118" s="559" t="s">
        <v>14</v>
      </c>
      <c r="Q118" s="932">
        <v>24</v>
      </c>
      <c r="R118" s="454">
        <v>500000</v>
      </c>
      <c r="S118" s="455">
        <f t="shared" si="9"/>
        <v>12000000</v>
      </c>
    </row>
    <row r="119" spans="1:19">
      <c r="B119" s="561">
        <f t="shared" si="10"/>
        <v>11</v>
      </c>
      <c r="C119" s="574"/>
      <c r="G119" s="575"/>
      <c r="I119" s="932">
        <v>0</v>
      </c>
      <c r="J119" s="454">
        <v>0</v>
      </c>
      <c r="K119" s="455">
        <f t="shared" si="8"/>
        <v>0</v>
      </c>
      <c r="L119" s="929"/>
      <c r="M119" s="574" t="s">
        <v>863</v>
      </c>
      <c r="P119" s="559" t="s">
        <v>254</v>
      </c>
      <c r="Q119" s="932">
        <v>31</v>
      </c>
      <c r="R119" s="454">
        <v>140000</v>
      </c>
      <c r="S119" s="455">
        <f t="shared" si="9"/>
        <v>4340000</v>
      </c>
    </row>
    <row r="120" spans="1:19">
      <c r="B120" s="561"/>
      <c r="C120" s="574"/>
      <c r="G120" s="575"/>
      <c r="I120" s="932"/>
      <c r="J120" s="454"/>
      <c r="K120" s="455"/>
      <c r="L120" s="929"/>
      <c r="M120" s="574" t="s">
        <v>861</v>
      </c>
      <c r="P120" s="559" t="s">
        <v>14</v>
      </c>
      <c r="Q120" s="932">
        <v>8</v>
      </c>
      <c r="R120" s="454">
        <v>500000</v>
      </c>
      <c r="S120" s="455">
        <f t="shared" si="9"/>
        <v>4000000</v>
      </c>
    </row>
    <row r="121" spans="1:19">
      <c r="B121" s="561"/>
      <c r="C121" s="574"/>
      <c r="G121" s="934"/>
      <c r="I121" s="932"/>
      <c r="J121" s="938" t="s">
        <v>383</v>
      </c>
      <c r="K121" s="578">
        <f>SUM(K109:K119)</f>
        <v>0</v>
      </c>
      <c r="L121" s="929"/>
      <c r="M121" s="574" t="s">
        <v>862</v>
      </c>
      <c r="P121" s="559" t="s">
        <v>254</v>
      </c>
      <c r="Q121" s="932">
        <v>20</v>
      </c>
      <c r="R121" s="454">
        <v>140000</v>
      </c>
      <c r="S121" s="455">
        <f t="shared" si="9"/>
        <v>2800000</v>
      </c>
    </row>
    <row r="122" spans="1:19">
      <c r="B122" s="449" t="s">
        <v>384</v>
      </c>
      <c r="C122" s="568" t="s">
        <v>62</v>
      </c>
      <c r="D122" s="569"/>
      <c r="E122" s="569"/>
      <c r="F122" s="569"/>
      <c r="G122" s="575"/>
      <c r="I122" s="932"/>
      <c r="J122" s="454"/>
      <c r="K122" s="455"/>
      <c r="L122" s="929"/>
      <c r="M122" s="574" t="s">
        <v>861</v>
      </c>
      <c r="P122" s="559" t="s">
        <v>14</v>
      </c>
      <c r="Q122" s="932">
        <v>5</v>
      </c>
      <c r="R122" s="454">
        <v>500000</v>
      </c>
      <c r="S122" s="455">
        <f t="shared" si="9"/>
        <v>2500000</v>
      </c>
    </row>
    <row r="123" spans="1:19">
      <c r="B123" s="561">
        <v>1</v>
      </c>
      <c r="C123" s="574"/>
      <c r="G123" s="575"/>
      <c r="I123" s="932">
        <v>0</v>
      </c>
      <c r="J123" s="454">
        <v>0</v>
      </c>
      <c r="K123" s="455">
        <f>I123*J123</f>
        <v>0</v>
      </c>
      <c r="L123" s="929"/>
      <c r="M123" s="574" t="s">
        <v>630</v>
      </c>
      <c r="P123" s="559" t="s">
        <v>254</v>
      </c>
      <c r="Q123" s="932">
        <v>45</v>
      </c>
      <c r="R123" s="454">
        <v>140000</v>
      </c>
      <c r="S123" s="455">
        <f t="shared" si="9"/>
        <v>6300000</v>
      </c>
    </row>
    <row r="124" spans="1:19">
      <c r="B124" s="561">
        <v>2</v>
      </c>
      <c r="C124" s="574"/>
      <c r="G124" s="575"/>
      <c r="I124" s="932">
        <f>I92+I93</f>
        <v>0</v>
      </c>
      <c r="J124" s="454">
        <f>J123</f>
        <v>0</v>
      </c>
      <c r="K124" s="455">
        <f>I124*J124</f>
        <v>0</v>
      </c>
      <c r="L124" s="929"/>
      <c r="M124" s="574" t="s">
        <v>774</v>
      </c>
      <c r="P124" s="559" t="s">
        <v>254</v>
      </c>
      <c r="Q124" s="932">
        <v>60</v>
      </c>
      <c r="R124" s="454">
        <f>R123</f>
        <v>140000</v>
      </c>
      <c r="S124" s="455">
        <f t="shared" si="9"/>
        <v>8400000</v>
      </c>
    </row>
    <row r="125" spans="1:19">
      <c r="A125" s="587"/>
      <c r="B125" s="561"/>
      <c r="C125" s="574"/>
      <c r="G125" s="575"/>
      <c r="I125" s="932"/>
      <c r="J125" s="454"/>
      <c r="K125" s="455"/>
      <c r="L125" s="929"/>
      <c r="M125" s="574" t="s">
        <v>680</v>
      </c>
      <c r="P125" s="559" t="s">
        <v>32</v>
      </c>
      <c r="Q125" s="932">
        <v>17</v>
      </c>
      <c r="R125" s="454">
        <v>400000</v>
      </c>
      <c r="S125" s="455">
        <f t="shared" si="9"/>
        <v>6800000</v>
      </c>
    </row>
    <row r="126" spans="1:19">
      <c r="A126" s="587"/>
      <c r="B126" s="561"/>
      <c r="C126" s="574"/>
      <c r="G126" s="934"/>
      <c r="I126" s="932"/>
      <c r="J126" s="938" t="s">
        <v>388</v>
      </c>
      <c r="K126" s="578">
        <f>SUM(K123:K125)</f>
        <v>0</v>
      </c>
      <c r="L126" s="929"/>
    </row>
    <row r="127" spans="1:19">
      <c r="A127" s="587"/>
      <c r="B127" s="449" t="s">
        <v>389</v>
      </c>
      <c r="C127" s="568" t="s">
        <v>62</v>
      </c>
      <c r="G127" s="575"/>
      <c r="H127" s="558"/>
      <c r="I127" s="940"/>
      <c r="J127" s="939"/>
      <c r="K127" s="455"/>
      <c r="L127" s="929"/>
    </row>
    <row r="128" spans="1:19">
      <c r="A128" s="587"/>
      <c r="B128" s="561"/>
      <c r="C128" s="434" t="s">
        <v>999</v>
      </c>
      <c r="G128" s="575"/>
      <c r="H128" s="558"/>
      <c r="I128" s="940"/>
      <c r="J128" s="939"/>
      <c r="K128" s="455"/>
      <c r="L128" s="929"/>
    </row>
    <row r="129" spans="1:16">
      <c r="B129" s="561"/>
      <c r="C129" s="574"/>
      <c r="G129" s="575"/>
      <c r="H129" s="558"/>
      <c r="I129" s="940"/>
      <c r="J129" s="939"/>
      <c r="K129" s="455"/>
      <c r="L129" s="929"/>
    </row>
    <row r="130" spans="1:16">
      <c r="B130" s="561"/>
      <c r="C130" s="941"/>
      <c r="F130" s="585"/>
      <c r="G130" s="575"/>
      <c r="H130" s="558"/>
      <c r="I130" s="940"/>
      <c r="J130" s="939"/>
      <c r="K130" s="455"/>
      <c r="L130" s="928"/>
    </row>
    <row r="131" spans="1:16">
      <c r="B131" s="576"/>
      <c r="C131" s="574"/>
      <c r="G131" s="575"/>
      <c r="H131" s="558"/>
      <c r="I131" s="940"/>
      <c r="J131" s="939"/>
      <c r="K131" s="455"/>
      <c r="L131" s="924"/>
    </row>
    <row r="132" spans="1:16">
      <c r="B132" s="561"/>
      <c r="C132" s="574"/>
      <c r="G132" s="575"/>
      <c r="I132" s="932"/>
      <c r="J132" s="454"/>
      <c r="K132" s="455"/>
      <c r="L132" s="929"/>
    </row>
    <row r="133" spans="1:16">
      <c r="B133" s="561"/>
      <c r="C133" s="574"/>
      <c r="G133" s="575"/>
      <c r="I133" s="932"/>
      <c r="J133" s="938" t="s">
        <v>394</v>
      </c>
      <c r="K133" s="578">
        <f>SUM(K128:K131)</f>
        <v>0</v>
      </c>
      <c r="L133" s="929"/>
    </row>
    <row r="134" spans="1:16">
      <c r="B134" s="449" t="s">
        <v>395</v>
      </c>
      <c r="C134" s="568" t="s">
        <v>62</v>
      </c>
      <c r="G134" s="575"/>
      <c r="H134" s="558"/>
      <c r="I134" s="940"/>
      <c r="J134" s="939"/>
      <c r="K134" s="455"/>
      <c r="L134" s="929"/>
    </row>
    <row r="135" spans="1:16">
      <c r="B135" s="576"/>
      <c r="C135" s="434" t="s">
        <v>978</v>
      </c>
      <c r="G135" s="575"/>
      <c r="H135" s="558"/>
      <c r="I135" s="940"/>
      <c r="J135" s="939"/>
      <c r="K135" s="455"/>
      <c r="L135" s="928"/>
      <c r="M135" s="585"/>
      <c r="P135" s="585"/>
    </row>
    <row r="136" spans="1:16">
      <c r="A136" s="587"/>
      <c r="B136" s="561"/>
      <c r="C136" s="574"/>
      <c r="G136" s="575"/>
      <c r="H136" s="558"/>
      <c r="I136" s="940"/>
      <c r="J136" s="939"/>
      <c r="K136" s="455"/>
      <c r="L136" s="924"/>
    </row>
    <row r="137" spans="1:16">
      <c r="B137" s="561"/>
      <c r="C137" s="574"/>
      <c r="G137" s="575"/>
      <c r="H137" s="558"/>
      <c r="I137" s="940"/>
      <c r="J137" s="939"/>
      <c r="K137" s="455"/>
      <c r="L137" s="929"/>
    </row>
    <row r="138" spans="1:16">
      <c r="B138" s="561"/>
      <c r="C138" s="574"/>
      <c r="G138" s="575"/>
      <c r="H138" s="558"/>
      <c r="I138" s="940"/>
      <c r="J138" s="939"/>
      <c r="K138" s="455"/>
      <c r="L138" s="929"/>
    </row>
    <row r="139" spans="1:16">
      <c r="B139" s="561"/>
      <c r="C139" s="574"/>
      <c r="G139" s="575"/>
      <c r="H139" s="558"/>
      <c r="I139" s="940"/>
      <c r="J139" s="939"/>
      <c r="K139" s="455"/>
      <c r="L139" s="929"/>
    </row>
    <row r="140" spans="1:16">
      <c r="B140" s="561"/>
      <c r="C140" s="574"/>
      <c r="G140" s="575"/>
      <c r="H140" s="558"/>
      <c r="I140" s="940"/>
      <c r="J140" s="939"/>
      <c r="K140" s="455"/>
      <c r="L140" s="929"/>
    </row>
    <row r="141" spans="1:16">
      <c r="B141" s="561"/>
      <c r="C141" s="574"/>
      <c r="G141" s="934"/>
      <c r="I141" s="932"/>
      <c r="J141" s="454"/>
      <c r="K141" s="578"/>
      <c r="L141" s="929"/>
    </row>
    <row r="142" spans="1:16">
      <c r="B142" s="561"/>
      <c r="C142" s="574"/>
      <c r="G142" s="934"/>
      <c r="I142" s="932"/>
      <c r="J142" s="938" t="s">
        <v>500</v>
      </c>
      <c r="K142" s="578">
        <f>SUM(K135:K140)</f>
        <v>0</v>
      </c>
      <c r="L142" s="929"/>
    </row>
    <row r="143" spans="1:16">
      <c r="B143" s="449" t="s">
        <v>404</v>
      </c>
      <c r="C143" s="568" t="s">
        <v>62</v>
      </c>
      <c r="D143" s="569"/>
      <c r="E143" s="569"/>
      <c r="F143" s="569"/>
      <c r="G143" s="575"/>
      <c r="I143" s="932"/>
      <c r="J143" s="454"/>
      <c r="K143" s="455"/>
      <c r="L143" s="929"/>
    </row>
    <row r="144" spans="1:16">
      <c r="B144" s="561">
        <v>1</v>
      </c>
      <c r="C144" s="574"/>
      <c r="G144" s="575"/>
      <c r="I144" s="932">
        <v>0</v>
      </c>
      <c r="J144" s="454">
        <v>0</v>
      </c>
      <c r="K144" s="455">
        <f>I144*J144</f>
        <v>0</v>
      </c>
      <c r="L144" s="924"/>
    </row>
    <row r="145" spans="2:12">
      <c r="B145" s="561">
        <f>B144+1</f>
        <v>2</v>
      </c>
      <c r="C145" s="574"/>
      <c r="G145" s="575"/>
      <c r="I145" s="932">
        <v>0</v>
      </c>
      <c r="J145" s="454">
        <v>0</v>
      </c>
      <c r="K145" s="455">
        <f>I145*J145</f>
        <v>0</v>
      </c>
      <c r="L145" s="928"/>
    </row>
    <row r="146" spans="2:12">
      <c r="B146" s="561">
        <f>B145+1</f>
        <v>3</v>
      </c>
      <c r="C146" s="574"/>
      <c r="G146" s="575"/>
      <c r="I146" s="932">
        <v>0</v>
      </c>
      <c r="J146" s="454">
        <v>0</v>
      </c>
      <c r="K146" s="455">
        <f>I146*J146</f>
        <v>0</v>
      </c>
      <c r="L146" s="928"/>
    </row>
    <row r="147" spans="2:12">
      <c r="B147" s="561">
        <f>B146+1</f>
        <v>4</v>
      </c>
      <c r="C147" s="574"/>
      <c r="G147" s="575"/>
      <c r="I147" s="932">
        <v>0</v>
      </c>
      <c r="J147" s="454">
        <v>0</v>
      </c>
      <c r="K147" s="455">
        <f>I147*J147</f>
        <v>0</v>
      </c>
      <c r="L147" s="928"/>
    </row>
    <row r="148" spans="2:12">
      <c r="B148" s="561">
        <f>B147+1</f>
        <v>5</v>
      </c>
      <c r="C148" s="574"/>
      <c r="G148" s="575"/>
      <c r="I148" s="932">
        <v>0</v>
      </c>
      <c r="J148" s="454">
        <v>0</v>
      </c>
      <c r="K148" s="455">
        <f>I148*J148</f>
        <v>0</v>
      </c>
      <c r="L148" s="928"/>
    </row>
    <row r="149" spans="2:12">
      <c r="B149" s="561"/>
      <c r="C149" s="574"/>
      <c r="G149" s="575"/>
      <c r="I149" s="932"/>
      <c r="J149" s="454"/>
      <c r="K149" s="455"/>
      <c r="L149" s="928"/>
    </row>
    <row r="150" spans="2:12">
      <c r="B150" s="561"/>
      <c r="C150" s="574"/>
      <c r="G150" s="934"/>
      <c r="I150" s="932"/>
      <c r="J150" s="938" t="s">
        <v>501</v>
      </c>
      <c r="K150" s="578">
        <f>SUM(K144:K148)</f>
        <v>0</v>
      </c>
      <c r="L150" s="928"/>
    </row>
    <row r="151" spans="2:12" ht="16.5" thickBot="1">
      <c r="B151" s="591"/>
      <c r="C151" s="592"/>
      <c r="D151" s="593"/>
      <c r="E151" s="593"/>
      <c r="F151" s="593"/>
      <c r="G151" s="937"/>
      <c r="H151" s="595"/>
      <c r="I151" s="936"/>
      <c r="J151" s="935"/>
      <c r="K151" s="598"/>
      <c r="L151" s="928"/>
    </row>
    <row r="152" spans="2:12">
      <c r="B152" s="561"/>
      <c r="C152" s="574"/>
      <c r="G152" s="934"/>
      <c r="I152" s="932"/>
      <c r="J152" s="454"/>
      <c r="K152" s="578"/>
      <c r="L152" s="924"/>
    </row>
    <row r="153" spans="2:12">
      <c r="B153" s="561"/>
      <c r="C153" s="574"/>
      <c r="G153" s="933"/>
      <c r="I153" s="932"/>
      <c r="J153" s="454"/>
      <c r="K153" s="599">
        <f>SUM(K13:K150)/2</f>
        <v>89100000</v>
      </c>
      <c r="L153" s="929"/>
    </row>
    <row r="154" spans="2:12" ht="16.5" thickBot="1">
      <c r="B154" s="600"/>
      <c r="C154" s="601"/>
      <c r="D154" s="602"/>
      <c r="E154" s="602"/>
      <c r="F154" s="602"/>
      <c r="G154" s="603"/>
      <c r="H154" s="604"/>
      <c r="I154" s="931"/>
      <c r="J154" s="930"/>
      <c r="K154" s="607"/>
      <c r="L154" s="929"/>
    </row>
    <row r="155" spans="2:12" ht="16.5" thickTop="1">
      <c r="I155" s="926"/>
      <c r="J155" s="925"/>
      <c r="K155" s="611"/>
      <c r="L155" s="929"/>
    </row>
    <row r="156" spans="2:12">
      <c r="I156" s="926"/>
      <c r="J156" s="925"/>
      <c r="K156" s="610"/>
      <c r="L156" s="929"/>
    </row>
    <row r="157" spans="2:12">
      <c r="I157" s="926"/>
      <c r="J157" s="925"/>
      <c r="K157" s="611"/>
      <c r="L157" s="929"/>
    </row>
    <row r="158" spans="2:12">
      <c r="I158" s="926"/>
      <c r="J158" s="925"/>
      <c r="K158" s="610"/>
      <c r="L158" s="929"/>
    </row>
    <row r="159" spans="2:12">
      <c r="I159" s="926"/>
      <c r="J159" s="925"/>
      <c r="K159" s="611"/>
      <c r="L159" s="928"/>
    </row>
    <row r="160" spans="2:12">
      <c r="I160" s="926"/>
      <c r="J160" s="925"/>
      <c r="K160" s="611"/>
      <c r="L160" s="928"/>
    </row>
    <row r="161" spans="8:12">
      <c r="I161" s="926"/>
      <c r="J161" s="925"/>
      <c r="K161" s="611"/>
      <c r="L161" s="928"/>
    </row>
    <row r="162" spans="8:12">
      <c r="I162" s="926"/>
      <c r="J162" s="925"/>
      <c r="K162" s="611"/>
      <c r="L162" s="927"/>
    </row>
    <row r="163" spans="8:12">
      <c r="I163" s="926"/>
      <c r="J163" s="925"/>
      <c r="K163" s="611"/>
      <c r="L163" s="924"/>
    </row>
    <row r="164" spans="8:12">
      <c r="I164" s="926"/>
      <c r="J164" s="925"/>
      <c r="K164" s="611"/>
      <c r="L164" s="924"/>
    </row>
    <row r="165" spans="8:12">
      <c r="I165" s="926"/>
      <c r="J165" s="925"/>
      <c r="K165" s="611"/>
      <c r="L165" s="924"/>
    </row>
    <row r="166" spans="8:12">
      <c r="I166" s="926"/>
      <c r="J166" s="925"/>
      <c r="K166" s="611"/>
      <c r="L166" s="924"/>
    </row>
    <row r="167" spans="8:12">
      <c r="I167" s="926"/>
      <c r="J167" s="925"/>
      <c r="K167" s="611"/>
      <c r="L167" s="924"/>
    </row>
    <row r="168" spans="8:12">
      <c r="L168" s="924"/>
    </row>
    <row r="169" spans="8:12">
      <c r="H169" s="612"/>
      <c r="K169" s="613"/>
      <c r="L169" s="924"/>
    </row>
    <row r="170" spans="8:12">
      <c r="H170" s="612"/>
      <c r="K170" s="585"/>
      <c r="L170" s="924"/>
    </row>
    <row r="171" spans="8:12">
      <c r="H171" s="558"/>
      <c r="I171" s="558"/>
      <c r="J171" s="558"/>
      <c r="L171" s="924"/>
    </row>
    <row r="172" spans="8:12">
      <c r="H172" s="558"/>
      <c r="I172" s="558"/>
      <c r="J172" s="558"/>
      <c r="L172" s="924"/>
    </row>
    <row r="173" spans="8:12">
      <c r="H173" s="558"/>
      <c r="I173" s="558"/>
      <c r="J173" s="558"/>
      <c r="L173" s="924"/>
    </row>
    <row r="174" spans="8:12">
      <c r="H174" s="558"/>
      <c r="I174" s="558"/>
      <c r="J174" s="558"/>
      <c r="L174" s="924"/>
    </row>
    <row r="175" spans="8:12">
      <c r="H175" s="558"/>
      <c r="I175" s="558"/>
      <c r="J175" s="558"/>
      <c r="L175" s="924"/>
    </row>
    <row r="176" spans="8:12">
      <c r="H176" s="558"/>
      <c r="I176" s="558"/>
      <c r="J176" s="558"/>
      <c r="L176" s="924"/>
    </row>
    <row r="177" spans="8:11">
      <c r="H177" s="558"/>
      <c r="I177" s="558"/>
      <c r="J177" s="558"/>
    </row>
    <row r="178" spans="8:11">
      <c r="H178" s="558"/>
      <c r="I178" s="558"/>
      <c r="J178" s="558"/>
    </row>
    <row r="179" spans="8:11">
      <c r="K179" s="614"/>
    </row>
    <row r="180" spans="8:11">
      <c r="H180" s="612"/>
    </row>
    <row r="185" spans="8:11">
      <c r="H185" s="615"/>
    </row>
  </sheetData>
  <mergeCells count="2">
    <mergeCell ref="I7:K7"/>
    <mergeCell ref="L9:L10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686AD1-9844-456B-BA1A-6E82979A7267}">
  <sheetPr>
    <tabColor rgb="FFFFFF00"/>
    <pageSetUpPr fitToPage="1"/>
  </sheetPr>
  <dimension ref="A2:L30"/>
  <sheetViews>
    <sheetView topLeftCell="A11" workbookViewId="0">
      <selection activeCell="H26" sqref="H26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872" t="s">
        <v>0</v>
      </c>
      <c r="C3" s="41"/>
      <c r="E3" s="43"/>
      <c r="F3" s="44"/>
    </row>
    <row r="4" spans="1:12">
      <c r="B4" s="872" t="s">
        <v>883</v>
      </c>
      <c r="C4" s="41"/>
      <c r="E4" s="43"/>
      <c r="F4" s="44"/>
    </row>
    <row r="5" spans="1:12">
      <c r="B5" s="873" t="s">
        <v>1</v>
      </c>
      <c r="C5" s="41"/>
      <c r="E5" s="43"/>
      <c r="F5" s="44"/>
    </row>
    <row r="6" spans="1:12">
      <c r="B6" s="872" t="s">
        <v>2</v>
      </c>
      <c r="C6" s="41"/>
      <c r="E6" s="43"/>
      <c r="F6" s="44"/>
    </row>
    <row r="7" spans="1:12">
      <c r="B7" s="873" t="s">
        <v>3</v>
      </c>
      <c r="C7" s="41"/>
      <c r="E7" s="43"/>
      <c r="F7" s="44"/>
    </row>
    <row r="8" spans="1:12" ht="16.5" thickBot="1">
      <c r="F8" s="1136" t="s">
        <v>907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Saung Makan Blok A</v>
      </c>
      <c r="D13" s="58"/>
      <c r="E13" s="58"/>
      <c r="F13" s="58"/>
      <c r="G13" s="58"/>
      <c r="H13" s="59"/>
    </row>
    <row r="14" spans="1:12" s="875" customFormat="1">
      <c r="A14" s="39"/>
      <c r="B14" s="55" t="s">
        <v>11</v>
      </c>
      <c r="C14" s="56" t="str">
        <f>BQSaung!C13</f>
        <v>PEKERJAAN PERSIAPAN &amp; PENYELESAIAN</v>
      </c>
      <c r="D14" s="58"/>
      <c r="E14" s="58"/>
      <c r="F14" s="58"/>
      <c r="G14" s="58"/>
      <c r="H14" s="874">
        <f>BQSaung!K18</f>
        <v>5000000</v>
      </c>
      <c r="I14" s="39"/>
      <c r="J14" s="39"/>
      <c r="K14" s="39"/>
      <c r="L14" s="39"/>
    </row>
    <row r="15" spans="1:12" s="875" customFormat="1">
      <c r="A15" s="39"/>
      <c r="B15" s="55" t="s">
        <v>12</v>
      </c>
      <c r="C15" s="56" t="str">
        <f>BQSaung!C19</f>
        <v>PEKERJAAN LAN</v>
      </c>
      <c r="D15" s="58"/>
      <c r="E15" s="58"/>
      <c r="F15" s="58"/>
      <c r="G15" s="58"/>
      <c r="H15" s="874">
        <f>BQSaung!K25</f>
        <v>15500000</v>
      </c>
      <c r="I15" s="39"/>
      <c r="J15" s="39"/>
      <c r="K15" s="39"/>
      <c r="L15" s="39"/>
    </row>
    <row r="16" spans="1:12" s="875" customFormat="1">
      <c r="A16" s="39"/>
      <c r="B16" s="55" t="s">
        <v>16</v>
      </c>
      <c r="C16" s="56" t="str">
        <f>BQSaung!C26</f>
        <v>PEKERJAAN CCTV</v>
      </c>
      <c r="D16" s="58"/>
      <c r="E16" s="58"/>
      <c r="F16" s="58"/>
      <c r="G16" s="58"/>
      <c r="H16" s="874">
        <f>BQSaung!K35</f>
        <v>20400000</v>
      </c>
      <c r="I16" s="39"/>
      <c r="J16" s="39"/>
      <c r="K16" s="39"/>
      <c r="L16" s="39"/>
    </row>
    <row r="17" spans="1:12" s="875" customFormat="1">
      <c r="A17" s="39"/>
      <c r="B17" s="55" t="s">
        <v>19</v>
      </c>
      <c r="C17" s="56" t="str">
        <f>BQSaung!C36</f>
        <v>PEKERJAAN WIFI</v>
      </c>
      <c r="D17" s="58"/>
      <c r="E17" s="58"/>
      <c r="F17" s="58"/>
      <c r="G17" s="58"/>
      <c r="H17" s="874">
        <f>BQSaung!K43</f>
        <v>27000000</v>
      </c>
      <c r="I17" s="39"/>
      <c r="J17" s="39"/>
      <c r="K17" s="39"/>
      <c r="L17" s="39"/>
    </row>
    <row r="18" spans="1:12" s="875" customFormat="1">
      <c r="A18" s="39"/>
      <c r="B18" s="55" t="s">
        <v>22</v>
      </c>
      <c r="C18" s="56" t="str">
        <f>BQSaung!C44</f>
        <v>PEKERJAAN PABX</v>
      </c>
      <c r="D18" s="58"/>
      <c r="E18" s="58"/>
      <c r="F18" s="58"/>
      <c r="G18" s="58"/>
      <c r="H18" s="874">
        <f>BQSaung!K51</f>
        <v>17700000</v>
      </c>
      <c r="I18" s="39"/>
      <c r="J18" s="39"/>
      <c r="K18" s="39"/>
      <c r="L18" s="39"/>
    </row>
    <row r="19" spans="1:12" s="875" customFormat="1">
      <c r="A19" s="39"/>
      <c r="B19" s="55" t="s">
        <v>25</v>
      </c>
      <c r="C19" s="56" t="str">
        <f>BQSaung!C52</f>
        <v>MATERIAL TAMBAHAN</v>
      </c>
      <c r="D19" s="58"/>
      <c r="E19" s="58"/>
      <c r="F19" s="58"/>
      <c r="G19" s="58"/>
      <c r="H19" s="874">
        <f>BQSaung!K58</f>
        <v>3500000</v>
      </c>
      <c r="I19" s="39"/>
      <c r="J19" s="39"/>
      <c r="K19" s="39"/>
      <c r="L19" s="39"/>
    </row>
    <row r="20" spans="1:12" s="875" customFormat="1">
      <c r="A20" s="39"/>
      <c r="B20" s="55" t="s">
        <v>27</v>
      </c>
      <c r="C20" s="56" t="str">
        <f>BQSaung!C59</f>
        <v>-</v>
      </c>
      <c r="D20" s="58"/>
      <c r="E20" s="58"/>
      <c r="F20" s="58"/>
      <c r="G20" s="58"/>
      <c r="H20" s="874">
        <f>BQSaung!K63</f>
        <v>0</v>
      </c>
      <c r="I20" s="39"/>
      <c r="J20" s="39"/>
      <c r="K20" s="39"/>
      <c r="L20" s="39"/>
    </row>
    <row r="21" spans="1:12" s="875" customFormat="1">
      <c r="A21" s="39"/>
      <c r="B21" s="55" t="s">
        <v>28</v>
      </c>
      <c r="C21" s="56" t="str">
        <f>BQSaung!C64</f>
        <v>-</v>
      </c>
      <c r="D21" s="58"/>
      <c r="E21" s="58"/>
      <c r="F21" s="58"/>
      <c r="G21" s="58"/>
      <c r="H21" s="874">
        <f>BQSaung!K72</f>
        <v>0</v>
      </c>
      <c r="I21" s="39"/>
      <c r="J21" s="39"/>
      <c r="K21" s="39"/>
      <c r="L21" s="39"/>
    </row>
    <row r="22" spans="1:12" s="875" customFormat="1">
      <c r="A22" s="39"/>
      <c r="B22" s="55"/>
      <c r="C22" s="56"/>
      <c r="D22" s="58"/>
      <c r="E22" s="58"/>
      <c r="F22" s="58"/>
      <c r="G22" s="58"/>
      <c r="H22" s="874"/>
      <c r="I22" s="39"/>
      <c r="J22" s="39"/>
      <c r="K22" s="39"/>
      <c r="L22" s="39"/>
    </row>
    <row r="23" spans="1:12" ht="16.5" thickBot="1">
      <c r="B23" s="69"/>
      <c r="C23" s="70"/>
      <c r="D23" s="70"/>
      <c r="E23" s="70"/>
      <c r="F23" s="70"/>
      <c r="G23" s="70"/>
      <c r="H23" s="876"/>
    </row>
    <row r="24" spans="1:12" ht="17.25" thickTop="1" thickBot="1">
      <c r="B24" s="72"/>
      <c r="C24" s="73"/>
      <c r="D24" s="73"/>
      <c r="E24" s="73"/>
      <c r="F24" s="74" t="s">
        <v>41</v>
      </c>
      <c r="G24" s="74"/>
      <c r="H24" s="75">
        <f>SUM(H14:H23)</f>
        <v>89100000</v>
      </c>
    </row>
    <row r="25" spans="1:12" ht="16.5" thickTop="1">
      <c r="B25" s="76"/>
      <c r="C25" s="77"/>
      <c r="D25" s="77"/>
      <c r="E25" s="77"/>
      <c r="F25" s="77"/>
      <c r="G25" s="77"/>
      <c r="H25" s="78"/>
    </row>
    <row r="26" spans="1:12">
      <c r="B26" s="79"/>
      <c r="C26" s="56"/>
      <c r="D26" s="56"/>
      <c r="E26" s="58"/>
      <c r="F26" s="40" t="s">
        <v>5</v>
      </c>
      <c r="G26" s="43">
        <v>8</v>
      </c>
      <c r="H26" s="877">
        <f>G26*H24</f>
        <v>712800000</v>
      </c>
    </row>
    <row r="27" spans="1:12">
      <c r="B27" s="81"/>
      <c r="C27" s="41"/>
      <c r="E27" s="44"/>
      <c r="H27" s="82"/>
    </row>
    <row r="28" spans="1:12">
      <c r="B28" s="81"/>
      <c r="C28" s="41"/>
      <c r="E28" s="44"/>
      <c r="H28" s="878"/>
    </row>
    <row r="29" spans="1:12" ht="16.5" thickBot="1">
      <c r="B29" s="84"/>
      <c r="C29" s="85"/>
      <c r="D29" s="85"/>
      <c r="E29" s="85"/>
      <c r="F29" s="85"/>
      <c r="G29" s="85"/>
      <c r="H29" s="86"/>
    </row>
    <row r="30" spans="1:12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31974D-46F3-4365-A1FC-95ACC207AFF5}">
  <dimension ref="B1:T98"/>
  <sheetViews>
    <sheetView topLeftCell="B10" zoomScale="110" zoomScaleNormal="110" workbookViewId="0">
      <selection activeCell="C24" sqref="C24"/>
    </sheetView>
  </sheetViews>
  <sheetFormatPr defaultColWidth="9.140625" defaultRowHeight="15.75"/>
  <cols>
    <col min="1" max="1" width="9.140625" style="415"/>
    <col min="2" max="2" width="6.42578125" style="415" customWidth="1"/>
    <col min="3" max="7" width="10.7109375" style="415" customWidth="1"/>
    <col min="8" max="8" width="7.42578125" style="272" bestFit="1" customWidth="1"/>
    <col min="9" max="9" width="9.42578125" style="481" customWidth="1"/>
    <col min="10" max="10" width="13.140625" style="416" bestFit="1" customWidth="1"/>
    <col min="11" max="11" width="15.5703125" style="415" customWidth="1"/>
    <col min="12" max="12" width="9.28515625" style="415" customWidth="1"/>
    <col min="13" max="13" width="12.42578125" style="415" bestFit="1" customWidth="1"/>
    <col min="14" max="16" width="9.140625" style="415"/>
    <col min="17" max="17" width="14.140625" style="415" customWidth="1"/>
    <col min="18" max="18" width="11" style="415" bestFit="1" customWidth="1"/>
    <col min="19" max="16384" width="9.140625" style="415"/>
  </cols>
  <sheetData>
    <row r="1" spans="2:12">
      <c r="B1" s="414"/>
    </row>
    <row r="2" spans="2:12">
      <c r="B2" s="414"/>
      <c r="C2" s="414"/>
      <c r="D2" s="414"/>
      <c r="E2" s="414"/>
      <c r="F2" s="414"/>
      <c r="G2" s="414"/>
      <c r="H2" s="417"/>
      <c r="I2" s="987"/>
      <c r="J2" s="418"/>
      <c r="K2" s="419"/>
    </row>
    <row r="3" spans="2:12">
      <c r="B3" s="414" t="s">
        <v>0</v>
      </c>
      <c r="C3" s="2"/>
      <c r="D3" s="1"/>
      <c r="E3" s="5"/>
      <c r="F3" s="6"/>
      <c r="G3" s="1"/>
      <c r="H3" s="1"/>
      <c r="I3" s="949"/>
      <c r="J3" s="292"/>
      <c r="K3" s="292"/>
    </row>
    <row r="4" spans="2:12">
      <c r="B4" s="859" t="s">
        <v>883</v>
      </c>
      <c r="C4" s="2"/>
      <c r="D4" s="1"/>
      <c r="E4" s="5"/>
      <c r="F4" s="6"/>
      <c r="G4" s="1"/>
      <c r="H4" s="1"/>
      <c r="I4" s="949"/>
      <c r="J4" s="292"/>
      <c r="K4" s="292"/>
    </row>
    <row r="5" spans="2:12">
      <c r="B5" s="850" t="s">
        <v>1</v>
      </c>
      <c r="C5" s="2"/>
      <c r="D5" s="1"/>
      <c r="E5" s="5"/>
      <c r="F5" s="6"/>
      <c r="G5" s="1"/>
      <c r="H5" s="1"/>
      <c r="I5" s="949"/>
      <c r="J5" s="292"/>
      <c r="K5" s="292"/>
    </row>
    <row r="6" spans="2:12">
      <c r="B6" s="414" t="s">
        <v>2</v>
      </c>
      <c r="C6" s="2"/>
      <c r="D6" s="1"/>
      <c r="E6" s="5"/>
      <c r="F6" s="6"/>
      <c r="G6" s="1"/>
      <c r="H6" s="1"/>
      <c r="I6" s="949"/>
      <c r="J6" s="292"/>
      <c r="K6" s="292"/>
    </row>
    <row r="7" spans="2:12">
      <c r="B7" s="850" t="s">
        <v>3</v>
      </c>
      <c r="C7" s="2"/>
      <c r="D7" s="1"/>
      <c r="E7" s="5"/>
      <c r="F7" s="6"/>
      <c r="G7" s="1"/>
      <c r="H7" s="1"/>
      <c r="I7" s="949"/>
      <c r="J7" s="292"/>
      <c r="K7" s="292"/>
    </row>
    <row r="8" spans="2:12" ht="16.5" thickBot="1">
      <c r="B8" s="1"/>
      <c r="C8" s="1"/>
      <c r="D8" s="1"/>
      <c r="E8" s="1"/>
      <c r="F8" s="1"/>
      <c r="G8" s="1"/>
      <c r="H8" s="1"/>
      <c r="I8" s="1136" t="str">
        <f>'05SumSaung'!F8</f>
        <v>No. 005/RAB-Blok A-SSBP/I/2021</v>
      </c>
      <c r="J8" s="1136"/>
      <c r="K8" s="1136"/>
    </row>
    <row r="9" spans="2:12" ht="16.5" thickTop="1">
      <c r="B9" s="962"/>
      <c r="C9" s="961"/>
      <c r="D9" s="9"/>
      <c r="E9" s="9"/>
      <c r="F9" s="9"/>
      <c r="G9" s="960"/>
      <c r="H9" s="959"/>
      <c r="I9" s="948"/>
      <c r="J9" s="860" t="s">
        <v>4</v>
      </c>
      <c r="K9" s="879" t="s">
        <v>5</v>
      </c>
    </row>
    <row r="10" spans="2:12" ht="15.6" customHeight="1">
      <c r="B10" s="958" t="s">
        <v>6</v>
      </c>
      <c r="C10" s="957" t="s">
        <v>7</v>
      </c>
      <c r="D10" s="15"/>
      <c r="E10" s="15"/>
      <c r="F10" s="15"/>
      <c r="G10" s="956"/>
      <c r="H10" s="5" t="s">
        <v>8</v>
      </c>
      <c r="I10" s="947" t="s">
        <v>9</v>
      </c>
      <c r="J10" s="862" t="s">
        <v>8</v>
      </c>
      <c r="K10" s="880" t="s">
        <v>4</v>
      </c>
      <c r="L10" s="1141"/>
    </row>
    <row r="11" spans="2:12" ht="16.5" thickBot="1">
      <c r="B11" s="955"/>
      <c r="C11" s="954"/>
      <c r="D11" s="21"/>
      <c r="E11" s="21"/>
      <c r="F11" s="21"/>
      <c r="G11" s="953"/>
      <c r="H11" s="952"/>
      <c r="I11" s="946"/>
      <c r="J11" s="864" t="s">
        <v>10</v>
      </c>
      <c r="K11" s="881" t="s">
        <v>10</v>
      </c>
      <c r="L11" s="1142"/>
    </row>
    <row r="12" spans="2:12" ht="16.5" thickTop="1">
      <c r="B12" s="421"/>
      <c r="C12" s="422"/>
      <c r="D12" s="423"/>
      <c r="E12" s="423"/>
      <c r="F12" s="423"/>
      <c r="G12" s="882"/>
      <c r="I12" s="986"/>
      <c r="J12" s="426"/>
      <c r="K12" s="427"/>
      <c r="L12" s="866"/>
    </row>
    <row r="13" spans="2:12">
      <c r="B13" s="428" t="s">
        <v>339</v>
      </c>
      <c r="C13" s="429" t="s">
        <v>340</v>
      </c>
      <c r="D13" s="377"/>
      <c r="E13" s="377"/>
      <c r="F13" s="377"/>
      <c r="G13" s="435"/>
      <c r="I13" s="980"/>
      <c r="J13" s="432"/>
      <c r="K13" s="433"/>
      <c r="L13" s="867"/>
    </row>
    <row r="14" spans="2:12">
      <c r="B14" s="421">
        <v>1</v>
      </c>
      <c r="C14" s="434" t="str">
        <f>[80]Sheet1!$B$3</f>
        <v xml:space="preserve">Pembersihan awal dan Selama Proyek Berjalan </v>
      </c>
      <c r="G14" s="435"/>
      <c r="H14" s="272" t="s">
        <v>357</v>
      </c>
      <c r="I14" s="980">
        <v>1</v>
      </c>
      <c r="J14" s="432">
        <f>[80]Sheet1!$D$3</f>
        <v>1000000</v>
      </c>
      <c r="K14" s="437">
        <f>I14*J14</f>
        <v>1000000</v>
      </c>
      <c r="L14" s="842"/>
    </row>
    <row r="15" spans="2:12">
      <c r="B15" s="421">
        <v>2</v>
      </c>
      <c r="C15" s="434" t="str">
        <f>[80]Sheet1!$B$4</f>
        <v>Pembersihan akhir sampah dll</v>
      </c>
      <c r="G15" s="435"/>
      <c r="H15" s="272" t="s">
        <v>357</v>
      </c>
      <c r="I15" s="980">
        <v>1</v>
      </c>
      <c r="J15" s="432">
        <f>[80]Sheet1!$D$4</f>
        <v>1000000</v>
      </c>
      <c r="K15" s="437">
        <f t="shared" ref="K15:K17" si="0">I15*J15</f>
        <v>1000000</v>
      </c>
      <c r="L15" s="842"/>
    </row>
    <row r="16" spans="2:12">
      <c r="B16" s="421">
        <v>3</v>
      </c>
      <c r="C16" s="1113" t="str">
        <f>[80]Sheet1!$B$5</f>
        <v>Survey</v>
      </c>
      <c r="G16" s="435"/>
      <c r="H16" s="272" t="s">
        <v>357</v>
      </c>
      <c r="I16" s="980">
        <v>1</v>
      </c>
      <c r="J16" s="432">
        <f>[80]Sheet1!$D$5</f>
        <v>2000000</v>
      </c>
      <c r="K16" s="437">
        <f t="shared" si="0"/>
        <v>2000000</v>
      </c>
      <c r="L16" s="842"/>
    </row>
    <row r="17" spans="2:13">
      <c r="B17" s="421">
        <v>4</v>
      </c>
      <c r="C17" s="1113" t="str">
        <f>[80]Sheet1!$B$6</f>
        <v>Pembuatan gambar teknis</v>
      </c>
      <c r="G17" s="435"/>
      <c r="H17" s="272" t="s">
        <v>357</v>
      </c>
      <c r="I17" s="980">
        <v>1</v>
      </c>
      <c r="J17" s="432">
        <f>[80]Sheet1!$D$6</f>
        <v>1000000</v>
      </c>
      <c r="K17" s="437">
        <f t="shared" si="0"/>
        <v>1000000</v>
      </c>
      <c r="L17" s="842"/>
    </row>
    <row r="18" spans="2:13">
      <c r="B18" s="421"/>
      <c r="C18" s="434"/>
      <c r="G18" s="883"/>
      <c r="I18" s="980"/>
      <c r="J18" s="439" t="s">
        <v>348</v>
      </c>
      <c r="K18" s="440">
        <f>SUM(K14:K17)</f>
        <v>5000000</v>
      </c>
      <c r="L18" s="843"/>
      <c r="M18" s="448"/>
    </row>
    <row r="19" spans="2:13">
      <c r="B19" s="428" t="s">
        <v>349</v>
      </c>
      <c r="C19" s="429" t="s">
        <v>1005</v>
      </c>
      <c r="D19" s="377"/>
      <c r="E19" s="377"/>
      <c r="F19" s="377"/>
      <c r="G19" s="435"/>
      <c r="I19" s="980"/>
      <c r="J19" s="432"/>
      <c r="K19" s="437"/>
      <c r="L19" s="867"/>
    </row>
    <row r="20" spans="2:13">
      <c r="B20" s="421">
        <v>1</v>
      </c>
      <c r="C20" s="1114" t="str">
        <f>[80]Sheet1!$B$8</f>
        <v> Kabel UTP</v>
      </c>
      <c r="G20" s="435"/>
      <c r="H20" s="272" t="s">
        <v>1006</v>
      </c>
      <c r="I20" s="980">
        <v>1</v>
      </c>
      <c r="J20" s="432">
        <f>[80]Sheet1!$D$8</f>
        <v>2000000</v>
      </c>
      <c r="K20" s="437">
        <f>I20*J20</f>
        <v>2000000</v>
      </c>
      <c r="L20" s="842"/>
      <c r="M20" s="448"/>
    </row>
    <row r="21" spans="2:13">
      <c r="B21" s="421">
        <f>B20+1</f>
        <v>2</v>
      </c>
      <c r="C21" s="1114" t="str">
        <f>[80]Sheet1!$B$9</f>
        <v>Konektor RJ-45</v>
      </c>
      <c r="G21" s="435"/>
      <c r="H21" s="272" t="s">
        <v>1013</v>
      </c>
      <c r="I21" s="980">
        <v>1</v>
      </c>
      <c r="J21" s="432">
        <f>[80]Sheet1!$D$9</f>
        <v>1500000</v>
      </c>
      <c r="K21" s="437">
        <f>I21*J21</f>
        <v>1500000</v>
      </c>
      <c r="L21" s="842"/>
    </row>
    <row r="22" spans="2:13">
      <c r="B22" s="421">
        <f t="shared" ref="B22:B24" si="1">B21+1</f>
        <v>3</v>
      </c>
      <c r="C22" s="1114" t="str">
        <f>[80]Sheet1!$B$10</f>
        <v>Kartu Jaringan (LAN Card)</v>
      </c>
      <c r="G22" s="435"/>
      <c r="H22" s="272" t="s">
        <v>392</v>
      </c>
      <c r="I22" s="980">
        <v>1</v>
      </c>
      <c r="J22" s="432">
        <f>[80]Sheet1!$D$10</f>
        <v>1500000</v>
      </c>
      <c r="K22" s="437">
        <f t="shared" ref="K22:K24" si="2">I22*J22</f>
        <v>1500000</v>
      </c>
      <c r="L22" s="842"/>
    </row>
    <row r="23" spans="2:13">
      <c r="B23" s="421">
        <f t="shared" si="1"/>
        <v>4</v>
      </c>
      <c r="C23" s="1114" t="str">
        <f>[80]Sheet1!$B$11</f>
        <v>Switch / Hub Managable</v>
      </c>
      <c r="G23" s="435"/>
      <c r="H23" s="272" t="s">
        <v>392</v>
      </c>
      <c r="I23" s="980">
        <v>1</v>
      </c>
      <c r="J23" s="432">
        <f>[80]Sheet1!$D$11</f>
        <v>10000000</v>
      </c>
      <c r="K23" s="437">
        <f t="shared" si="2"/>
        <v>10000000</v>
      </c>
      <c r="L23" s="842"/>
    </row>
    <row r="24" spans="2:13">
      <c r="B24" s="421">
        <f t="shared" si="1"/>
        <v>5</v>
      </c>
      <c r="C24" s="1114" t="str">
        <f>[80]Sheet1!$B$12</f>
        <v>Alat dukung</v>
      </c>
      <c r="G24" s="435"/>
      <c r="H24" s="272" t="s">
        <v>392</v>
      </c>
      <c r="I24" s="980">
        <v>1</v>
      </c>
      <c r="J24" s="432">
        <f>[80]Sheet1!$D$12</f>
        <v>500000</v>
      </c>
      <c r="K24" s="437">
        <f t="shared" si="2"/>
        <v>500000</v>
      </c>
      <c r="L24" s="842"/>
    </row>
    <row r="25" spans="2:13">
      <c r="B25" s="421"/>
      <c r="C25" s="434"/>
      <c r="G25" s="883"/>
      <c r="I25" s="980"/>
      <c r="J25" s="439" t="s">
        <v>353</v>
      </c>
      <c r="K25" s="440">
        <f>SUM(K20:K24)</f>
        <v>15500000</v>
      </c>
      <c r="L25" s="843"/>
      <c r="M25" s="448"/>
    </row>
    <row r="26" spans="2:13">
      <c r="B26" s="428" t="s">
        <v>354</v>
      </c>
      <c r="C26" s="429" t="s">
        <v>1012</v>
      </c>
      <c r="D26" s="377"/>
      <c r="E26" s="377"/>
      <c r="F26" s="377"/>
      <c r="G26" s="435"/>
      <c r="I26" s="980"/>
      <c r="J26" s="432"/>
      <c r="K26" s="437"/>
      <c r="L26" s="867"/>
    </row>
    <row r="27" spans="2:13">
      <c r="B27" s="421">
        <v>1</v>
      </c>
      <c r="C27" s="1114" t="str">
        <f>[80]Sheet1!$B$14</f>
        <v>Cctv indoor</v>
      </c>
      <c r="G27" s="435"/>
      <c r="H27" s="272" t="s">
        <v>392</v>
      </c>
      <c r="I27" s="980">
        <v>1</v>
      </c>
      <c r="J27" s="432">
        <f>[80]Sheet1!$D$14</f>
        <v>3500000</v>
      </c>
      <c r="K27" s="437">
        <f>I27*J27</f>
        <v>3500000</v>
      </c>
      <c r="L27" s="842"/>
    </row>
    <row r="28" spans="2:13">
      <c r="B28" s="421">
        <f>B27+1</f>
        <v>2</v>
      </c>
      <c r="C28" s="1114" t="str">
        <f>[80]Sheet1!$B$15</f>
        <v>Cctv outdoor</v>
      </c>
      <c r="G28" s="435"/>
      <c r="H28" s="272" t="s">
        <v>392</v>
      </c>
      <c r="I28" s="932">
        <v>1</v>
      </c>
      <c r="J28" s="432">
        <f>[80]Sheet1!$D$15</f>
        <v>3500000</v>
      </c>
      <c r="K28" s="437">
        <f>I28*J28</f>
        <v>3500000</v>
      </c>
      <c r="L28" s="842"/>
    </row>
    <row r="29" spans="2:13">
      <c r="B29" s="421">
        <f>B28+1</f>
        <v>3</v>
      </c>
      <c r="C29" s="1114" t="str">
        <f>[80]Sheet1!$B$16</f>
        <v>DVR</v>
      </c>
      <c r="G29" s="435"/>
      <c r="H29" s="272" t="s">
        <v>392</v>
      </c>
      <c r="I29" s="932">
        <v>1</v>
      </c>
      <c r="J29" s="432">
        <f>[80]Sheet1!$D$16</f>
        <v>5000000</v>
      </c>
      <c r="K29" s="437">
        <f>I29*J29</f>
        <v>5000000</v>
      </c>
      <c r="L29" s="842"/>
      <c r="M29" s="985"/>
    </row>
    <row r="30" spans="2:13">
      <c r="B30" s="421">
        <f t="shared" ref="B30:B34" si="3">B29+1</f>
        <v>4</v>
      </c>
      <c r="C30" s="1114" t="str">
        <f>[80]Sheet1!$B$17</f>
        <v>Adapter dan Power Supply.</v>
      </c>
      <c r="G30" s="435"/>
      <c r="H30" s="272" t="s">
        <v>392</v>
      </c>
      <c r="I30" s="932">
        <v>1</v>
      </c>
      <c r="J30" s="432">
        <f>[80]Sheet1!$D$17</f>
        <v>900000</v>
      </c>
      <c r="K30" s="437">
        <f t="shared" ref="K30:K34" si="4">I30*J30</f>
        <v>900000</v>
      </c>
      <c r="L30" s="842"/>
      <c r="M30" s="985"/>
    </row>
    <row r="31" spans="2:13">
      <c r="B31" s="421">
        <f t="shared" si="3"/>
        <v>5</v>
      </c>
      <c r="C31" s="1114" t="str">
        <f>[80]Sheet1!$B$18</f>
        <v>Kabel Power.</v>
      </c>
      <c r="G31" s="435"/>
      <c r="H31" s="272" t="s">
        <v>1006</v>
      </c>
      <c r="I31" s="932">
        <v>1</v>
      </c>
      <c r="J31" s="432">
        <f>[80]Sheet1!$D$18</f>
        <v>1000000</v>
      </c>
      <c r="K31" s="437">
        <f t="shared" si="4"/>
        <v>1000000</v>
      </c>
      <c r="L31" s="842"/>
      <c r="M31" s="985"/>
    </row>
    <row r="32" spans="2:13">
      <c r="B32" s="421">
        <f t="shared" si="3"/>
        <v>6</v>
      </c>
      <c r="C32" s="1114" t="str">
        <f>[80]Sheet1!$B$19</f>
        <v>Crimp Kabel.</v>
      </c>
      <c r="G32" s="435"/>
      <c r="H32" s="272" t="s">
        <v>392</v>
      </c>
      <c r="I32" s="932">
        <v>1</v>
      </c>
      <c r="J32" s="432">
        <f>[80]Sheet1!$D$19</f>
        <v>2000000</v>
      </c>
      <c r="K32" s="437">
        <f t="shared" si="4"/>
        <v>2000000</v>
      </c>
      <c r="L32" s="842"/>
      <c r="M32" s="985"/>
    </row>
    <row r="33" spans="2:13">
      <c r="B33" s="421">
        <f t="shared" si="3"/>
        <v>7</v>
      </c>
      <c r="C33" s="1114" t="str">
        <f>[80]Sheet1!$B$20</f>
        <v>Kabel Coaxial.</v>
      </c>
      <c r="G33" s="435"/>
      <c r="H33" s="272" t="s">
        <v>1006</v>
      </c>
      <c r="I33" s="932">
        <v>1</v>
      </c>
      <c r="J33" s="432">
        <f>[80]Sheet1!$D$20</f>
        <v>3500000</v>
      </c>
      <c r="K33" s="437">
        <f t="shared" si="4"/>
        <v>3500000</v>
      </c>
      <c r="L33" s="842"/>
      <c r="M33" s="985"/>
    </row>
    <row r="34" spans="2:13">
      <c r="B34" s="421">
        <f t="shared" si="3"/>
        <v>8</v>
      </c>
      <c r="C34" s="1114" t="str">
        <f>[80]Sheet1!$B$21</f>
        <v>Konektor RF.</v>
      </c>
      <c r="G34" s="435"/>
      <c r="H34" s="272" t="s">
        <v>1013</v>
      </c>
      <c r="I34" s="932">
        <v>1</v>
      </c>
      <c r="J34" s="432">
        <f>[80]Sheet1!$D$21</f>
        <v>1000000</v>
      </c>
      <c r="K34" s="437">
        <f t="shared" si="4"/>
        <v>1000000</v>
      </c>
      <c r="L34" s="842"/>
      <c r="M34" s="985"/>
    </row>
    <row r="35" spans="2:13">
      <c r="B35" s="421"/>
      <c r="C35" s="434"/>
      <c r="G35" s="883"/>
      <c r="I35" s="979"/>
      <c r="J35" s="439" t="s">
        <v>358</v>
      </c>
      <c r="K35" s="440">
        <f>SUM(K27:K34)</f>
        <v>20400000</v>
      </c>
      <c r="L35" s="843"/>
      <c r="M35" s="448"/>
    </row>
    <row r="36" spans="2:13">
      <c r="B36" s="428" t="s">
        <v>359</v>
      </c>
      <c r="C36" s="429" t="s">
        <v>1008</v>
      </c>
      <c r="D36" s="377"/>
      <c r="E36" s="377"/>
      <c r="F36" s="377"/>
      <c r="G36" s="435"/>
      <c r="I36" s="979"/>
      <c r="J36" s="432"/>
      <c r="K36" s="437"/>
      <c r="L36" s="867"/>
    </row>
    <row r="37" spans="2:13">
      <c r="B37" s="421">
        <v>1</v>
      </c>
      <c r="C37" s="1114" t="str">
        <f>[80]Sheet1!$B$23</f>
        <v>Acess Point</v>
      </c>
      <c r="G37" s="884"/>
      <c r="H37" s="272" t="s">
        <v>392</v>
      </c>
      <c r="I37" s="984">
        <v>1</v>
      </c>
      <c r="J37" s="446">
        <f>[80]Sheet1!$D$23</f>
        <v>8500000</v>
      </c>
      <c r="K37" s="437">
        <f>I37*J37</f>
        <v>8500000</v>
      </c>
      <c r="L37" s="842"/>
    </row>
    <row r="38" spans="2:13">
      <c r="B38" s="421">
        <f>B37+1</f>
        <v>2</v>
      </c>
      <c r="C38" s="1114" t="str">
        <f>[80]Sheet1!$B$24</f>
        <v>Antena Omni</v>
      </c>
      <c r="G38" s="884"/>
      <c r="H38" s="272" t="s">
        <v>392</v>
      </c>
      <c r="I38" s="940">
        <v>1</v>
      </c>
      <c r="J38" s="446">
        <f>[80]Sheet1!$D$24</f>
        <v>10000000</v>
      </c>
      <c r="K38" s="437">
        <f>I38*J38</f>
        <v>10000000</v>
      </c>
      <c r="L38" s="842"/>
    </row>
    <row r="39" spans="2:13">
      <c r="B39" s="421">
        <f t="shared" ref="B39:B41" si="5">B38+1</f>
        <v>3</v>
      </c>
      <c r="C39" s="1114" t="str">
        <f>[80]Sheet1!$B$25</f>
        <v>Kabel Pigtail/Kabel Jumper</v>
      </c>
      <c r="G39" s="884"/>
      <c r="H39" s="272" t="s">
        <v>1006</v>
      </c>
      <c r="I39" s="940">
        <v>1</v>
      </c>
      <c r="J39" s="446">
        <f>[80]Sheet1!$D$25</f>
        <v>500000</v>
      </c>
      <c r="K39" s="437">
        <f t="shared" ref="K39:K42" si="6">I39*J39</f>
        <v>500000</v>
      </c>
      <c r="L39" s="842"/>
    </row>
    <row r="40" spans="2:13">
      <c r="B40" s="421">
        <f t="shared" si="5"/>
        <v>4</v>
      </c>
      <c r="C40" s="1114" t="str">
        <f>[80]Sheet1!$B$26</f>
        <v>POE (Power Over Ethernet)</v>
      </c>
      <c r="G40" s="884"/>
      <c r="H40" s="272" t="s">
        <v>392</v>
      </c>
      <c r="I40" s="940">
        <v>1</v>
      </c>
      <c r="J40" s="446">
        <f>[80]Sheet1!$D$26</f>
        <v>2000000</v>
      </c>
      <c r="K40" s="437">
        <f t="shared" si="6"/>
        <v>2000000</v>
      </c>
      <c r="L40" s="842"/>
    </row>
    <row r="41" spans="2:13">
      <c r="B41" s="421">
        <f t="shared" si="5"/>
        <v>5</v>
      </c>
      <c r="C41" s="1114" t="str">
        <f>[80]Sheet1!$B$27</f>
        <v>Kabel UTP/STP</v>
      </c>
      <c r="G41" s="884"/>
      <c r="H41" s="272" t="s">
        <v>1006</v>
      </c>
      <c r="I41" s="940">
        <v>1</v>
      </c>
      <c r="J41" s="446">
        <f>[80]Sheet1!$D$27</f>
        <v>3000000</v>
      </c>
      <c r="K41" s="437">
        <f t="shared" si="6"/>
        <v>3000000</v>
      </c>
      <c r="L41" s="842"/>
    </row>
    <row r="42" spans="2:13">
      <c r="B42" s="421">
        <f>B41+1</f>
        <v>6</v>
      </c>
      <c r="C42" s="1114" t="str">
        <f>[80]Sheet1!$B$28</f>
        <v>Penangkal Petir (Lightning Arrester)</v>
      </c>
      <c r="G42" s="884"/>
      <c r="H42" s="272" t="s">
        <v>392</v>
      </c>
      <c r="I42" s="940">
        <v>1</v>
      </c>
      <c r="J42" s="446">
        <f>[80]Sheet1!$D$28</f>
        <v>3000000</v>
      </c>
      <c r="K42" s="437">
        <f t="shared" si="6"/>
        <v>3000000</v>
      </c>
      <c r="L42" s="842"/>
    </row>
    <row r="43" spans="2:13">
      <c r="B43" s="421"/>
      <c r="C43" s="434"/>
      <c r="G43" s="884"/>
      <c r="I43" s="983"/>
      <c r="J43" s="439" t="s">
        <v>361</v>
      </c>
      <c r="K43" s="440">
        <f>SUM(K37:K42)</f>
        <v>27000000</v>
      </c>
      <c r="L43" s="842"/>
    </row>
    <row r="44" spans="2:13">
      <c r="B44" s="428" t="s">
        <v>362</v>
      </c>
      <c r="C44" s="429" t="s">
        <v>1010</v>
      </c>
      <c r="D44" s="377"/>
      <c r="E44" s="377"/>
      <c r="F44" s="377"/>
      <c r="G44" s="435"/>
      <c r="I44" s="979"/>
      <c r="J44" s="432"/>
      <c r="K44" s="437"/>
      <c r="L44" s="867"/>
      <c r="M44" s="448"/>
    </row>
    <row r="45" spans="2:13">
      <c r="B45" s="421">
        <v>1</v>
      </c>
      <c r="C45" s="434" t="str">
        <f>[80]Sheet1!$B$30</f>
        <v>Kabel Telepon outdoor</v>
      </c>
      <c r="G45" s="435"/>
      <c r="H45" s="272" t="s">
        <v>1006</v>
      </c>
      <c r="I45" s="982">
        <v>1</v>
      </c>
      <c r="J45" s="432">
        <f>[80]Sheet1!$D$30</f>
        <v>4500000</v>
      </c>
      <c r="K45" s="437">
        <f>I45*J45</f>
        <v>4500000</v>
      </c>
      <c r="L45" s="842"/>
    </row>
    <row r="46" spans="2:13">
      <c r="B46" s="421">
        <f>B45+1</f>
        <v>2</v>
      </c>
      <c r="C46" s="1114" t="str">
        <f>[80]Sheet1!$B$31</f>
        <v>Kabel Telepon Indoor</v>
      </c>
      <c r="G46" s="435"/>
      <c r="H46" s="272" t="s">
        <v>1006</v>
      </c>
      <c r="I46" s="932">
        <v>1</v>
      </c>
      <c r="J46" s="432">
        <f>[80]Sheet1!$D$31</f>
        <v>4000000</v>
      </c>
      <c r="K46" s="437">
        <f>I46*J46</f>
        <v>4000000</v>
      </c>
      <c r="L46" s="842"/>
    </row>
    <row r="47" spans="2:13">
      <c r="B47" s="421">
        <f t="shared" ref="B47:B50" si="7">B46+1</f>
        <v>3</v>
      </c>
      <c r="C47" s="1114" t="str">
        <f>[80]Sheet1!$B$32</f>
        <v>Box Telepon Konektor</v>
      </c>
      <c r="G47" s="435"/>
      <c r="H47" s="272" t="s">
        <v>392</v>
      </c>
      <c r="I47" s="932">
        <v>1</v>
      </c>
      <c r="J47" s="432">
        <f>[80]Sheet1!$D$32</f>
        <v>6500000</v>
      </c>
      <c r="K47" s="437">
        <f t="shared" ref="K47:K50" si="8">I47*J47</f>
        <v>6500000</v>
      </c>
      <c r="L47" s="842"/>
    </row>
    <row r="48" spans="2:13">
      <c r="B48" s="421">
        <f t="shared" si="7"/>
        <v>4</v>
      </c>
      <c r="C48" s="1114" t="str">
        <f>[80]Sheet1!$B$33</f>
        <v>Kabel Protection ( Ugreen Cable Zipper Protection )</v>
      </c>
      <c r="G48" s="435"/>
      <c r="H48" s="272" t="s">
        <v>813</v>
      </c>
      <c r="I48" s="932">
        <v>1</v>
      </c>
      <c r="J48" s="432">
        <f>[80]Sheet1!$D$33</f>
        <v>200000</v>
      </c>
      <c r="K48" s="437">
        <f t="shared" si="8"/>
        <v>200000</v>
      </c>
      <c r="L48" s="842"/>
    </row>
    <row r="49" spans="2:20">
      <c r="B49" s="421">
        <f t="shared" si="7"/>
        <v>5</v>
      </c>
      <c r="C49" s="1114" t="str">
        <f>[80]Sheet1!$B$34</f>
        <v>Paku Klem</v>
      </c>
      <c r="G49" s="435"/>
      <c r="H49" s="272" t="s">
        <v>1015</v>
      </c>
      <c r="I49" s="932">
        <v>1</v>
      </c>
      <c r="J49" s="432">
        <f>[80]Sheet1!$D$34</f>
        <v>500000</v>
      </c>
      <c r="K49" s="437">
        <f t="shared" si="8"/>
        <v>500000</v>
      </c>
      <c r="L49" s="842"/>
    </row>
    <row r="50" spans="2:20">
      <c r="B50" s="421">
        <f t="shared" si="7"/>
        <v>6</v>
      </c>
      <c r="C50" s="1114" t="str">
        <f>[80]Sheet1!$B$35</f>
        <v>Peralatan kerja pabx</v>
      </c>
      <c r="G50" s="435"/>
      <c r="H50" s="272" t="s">
        <v>392</v>
      </c>
      <c r="I50" s="932">
        <v>1</v>
      </c>
      <c r="J50" s="432">
        <f>[80]Sheet1!$D$35</f>
        <v>2000000</v>
      </c>
      <c r="K50" s="437">
        <f t="shared" si="8"/>
        <v>2000000</v>
      </c>
      <c r="L50" s="842"/>
    </row>
    <row r="51" spans="2:20">
      <c r="B51" s="421"/>
      <c r="C51" s="434"/>
      <c r="G51" s="884"/>
      <c r="I51" s="979"/>
      <c r="J51" s="439" t="s">
        <v>365</v>
      </c>
      <c r="K51" s="440">
        <f>SUM(K45:K50)</f>
        <v>17700000</v>
      </c>
      <c r="L51" s="843"/>
      <c r="M51" s="981"/>
      <c r="Q51" s="448"/>
    </row>
    <row r="52" spans="2:20">
      <c r="B52" s="449" t="s">
        <v>366</v>
      </c>
      <c r="C52" s="568" t="s">
        <v>1009</v>
      </c>
      <c r="D52" s="377"/>
      <c r="E52" s="377"/>
      <c r="F52" s="377"/>
      <c r="G52" s="435"/>
      <c r="I52" s="979"/>
      <c r="J52" s="432"/>
      <c r="K52" s="437"/>
      <c r="L52" s="867"/>
    </row>
    <row r="53" spans="2:20">
      <c r="B53" s="421">
        <v>1</v>
      </c>
      <c r="C53" s="1114" t="str">
        <f>[80]Sheet1!$B$37</f>
        <v>Rumah Kabel</v>
      </c>
      <c r="G53" s="435"/>
      <c r="H53" s="272" t="s">
        <v>1014</v>
      </c>
      <c r="I53" s="980">
        <v>1</v>
      </c>
      <c r="J53" s="432">
        <f>[80]Sheet1!$D$37</f>
        <v>1500000</v>
      </c>
      <c r="K53" s="437">
        <f>I53*J53</f>
        <v>1500000</v>
      </c>
      <c r="L53" s="842"/>
    </row>
    <row r="54" spans="2:20">
      <c r="B54" s="421">
        <f>B53+1</f>
        <v>2</v>
      </c>
      <c r="C54" s="1114" t="str">
        <f>[80]Sheet1!$B$38</f>
        <v>paku-paku &amp; Klem</v>
      </c>
      <c r="G54" s="435"/>
      <c r="H54" s="272" t="s">
        <v>1015</v>
      </c>
      <c r="I54" s="980">
        <v>1</v>
      </c>
      <c r="J54" s="432">
        <f>[80]Sheet1!$D$38</f>
        <v>2000000</v>
      </c>
      <c r="K54" s="437">
        <f>I54*J54</f>
        <v>2000000</v>
      </c>
      <c r="L54" s="842"/>
    </row>
    <row r="55" spans="2:20">
      <c r="B55" s="421">
        <f>B54+1</f>
        <v>3</v>
      </c>
      <c r="C55" s="434"/>
      <c r="G55" s="435"/>
      <c r="I55" s="980">
        <v>0</v>
      </c>
      <c r="J55" s="432">
        <v>0</v>
      </c>
      <c r="K55" s="437">
        <f>I55*J55</f>
        <v>0</v>
      </c>
      <c r="L55" s="842"/>
    </row>
    <row r="56" spans="2:20">
      <c r="B56" s="421">
        <f>B55+1</f>
        <v>4</v>
      </c>
      <c r="C56" s="434"/>
      <c r="G56" s="435"/>
      <c r="I56" s="980">
        <v>0</v>
      </c>
      <c r="J56" s="432">
        <v>0</v>
      </c>
      <c r="K56" s="437">
        <f>I56*J56</f>
        <v>0</v>
      </c>
      <c r="L56" s="842"/>
    </row>
    <row r="57" spans="2:20">
      <c r="B57" s="421"/>
      <c r="C57" s="434"/>
      <c r="G57" s="435"/>
      <c r="I57" s="980"/>
      <c r="J57" s="432"/>
      <c r="K57" s="437"/>
      <c r="L57" s="842"/>
    </row>
    <row r="58" spans="2:20">
      <c r="B58" s="421"/>
      <c r="C58" s="434"/>
      <c r="G58" s="884"/>
      <c r="I58" s="979"/>
      <c r="J58" s="439" t="s">
        <v>368</v>
      </c>
      <c r="K58" s="440">
        <f>SUM(K53:K56)</f>
        <v>3500000</v>
      </c>
      <c r="L58" s="843"/>
      <c r="M58" s="448"/>
    </row>
    <row r="59" spans="2:20">
      <c r="B59" s="449" t="s">
        <v>369</v>
      </c>
      <c r="C59" s="429" t="s">
        <v>62</v>
      </c>
      <c r="D59" s="377"/>
      <c r="E59" s="377"/>
      <c r="F59" s="377"/>
      <c r="G59" s="435"/>
      <c r="I59" s="979"/>
      <c r="J59" s="432"/>
      <c r="K59" s="437"/>
      <c r="L59" s="867"/>
    </row>
    <row r="60" spans="2:20">
      <c r="B60" s="421">
        <v>1</v>
      </c>
      <c r="C60" s="434"/>
      <c r="G60" s="435"/>
      <c r="I60" s="980">
        <v>0</v>
      </c>
      <c r="J60" s="432">
        <v>0</v>
      </c>
      <c r="K60" s="437">
        <f>I60*J60</f>
        <v>0</v>
      </c>
      <c r="L60" s="842"/>
    </row>
    <row r="61" spans="2:20">
      <c r="B61" s="421">
        <v>3</v>
      </c>
      <c r="C61" s="434"/>
      <c r="G61" s="435"/>
      <c r="I61" s="932">
        <v>0</v>
      </c>
      <c r="J61" s="432">
        <v>0</v>
      </c>
      <c r="K61" s="437">
        <f>I61*J61</f>
        <v>0</v>
      </c>
      <c r="L61" s="842"/>
    </row>
    <row r="62" spans="2:20">
      <c r="B62" s="421"/>
      <c r="C62" s="434"/>
      <c r="G62" s="435"/>
      <c r="I62" s="979"/>
      <c r="J62" s="432"/>
      <c r="K62" s="437"/>
      <c r="L62" s="842"/>
    </row>
    <row r="63" spans="2:20">
      <c r="B63" s="421"/>
      <c r="C63" s="434"/>
      <c r="G63" s="884"/>
      <c r="I63" s="979"/>
      <c r="J63" s="439" t="s">
        <v>371</v>
      </c>
      <c r="K63" s="440">
        <f>SUM(K60:K62)</f>
        <v>0</v>
      </c>
      <c r="L63" s="843"/>
      <c r="M63" s="448"/>
    </row>
    <row r="64" spans="2:20">
      <c r="B64" s="428" t="s">
        <v>372</v>
      </c>
      <c r="C64" s="429" t="s">
        <v>62</v>
      </c>
      <c r="D64" s="377"/>
      <c r="E64" s="377"/>
      <c r="F64" s="377"/>
      <c r="G64" s="435"/>
      <c r="I64" s="979"/>
      <c r="J64" s="432"/>
      <c r="K64" s="437"/>
      <c r="L64" s="867"/>
      <c r="M64" s="574" t="s">
        <v>397</v>
      </c>
      <c r="Q64" s="435"/>
      <c r="R64" s="272" t="s">
        <v>398</v>
      </c>
      <c r="S64" s="436">
        <v>15</v>
      </c>
      <c r="T64" s="432">
        <v>250000</v>
      </c>
    </row>
    <row r="65" spans="2:20">
      <c r="B65" s="421"/>
      <c r="C65" s="434" t="s">
        <v>981</v>
      </c>
      <c r="G65" s="435"/>
      <c r="I65" s="436"/>
      <c r="J65" s="432"/>
      <c r="K65" s="437"/>
      <c r="L65" s="842"/>
      <c r="M65" s="574" t="s">
        <v>399</v>
      </c>
      <c r="Q65" s="435"/>
      <c r="R65" s="272" t="s">
        <v>398</v>
      </c>
      <c r="S65" s="436">
        <v>10</v>
      </c>
      <c r="T65" s="432">
        <v>170000</v>
      </c>
    </row>
    <row r="66" spans="2:20">
      <c r="B66" s="421"/>
      <c r="C66" s="574"/>
      <c r="G66" s="435"/>
      <c r="I66" s="436"/>
      <c r="J66" s="432"/>
      <c r="K66" s="437"/>
      <c r="L66" s="842"/>
      <c r="M66" s="574" t="s">
        <v>400</v>
      </c>
      <c r="Q66" s="435"/>
      <c r="R66" s="272" t="s">
        <v>380</v>
      </c>
      <c r="S66" s="436">
        <v>1</v>
      </c>
      <c r="T66" s="432">
        <v>350000</v>
      </c>
    </row>
    <row r="67" spans="2:20" ht="18">
      <c r="B67" s="421"/>
      <c r="C67" s="574"/>
      <c r="G67" s="435"/>
      <c r="I67" s="436"/>
      <c r="J67" s="432"/>
      <c r="K67" s="437"/>
      <c r="L67" s="842"/>
      <c r="M67" s="574" t="s">
        <v>401</v>
      </c>
      <c r="Q67" s="435"/>
      <c r="R67" s="272" t="s">
        <v>344</v>
      </c>
      <c r="S67" s="436">
        <v>10</v>
      </c>
      <c r="T67" s="432">
        <v>45000</v>
      </c>
    </row>
    <row r="68" spans="2:20">
      <c r="B68" s="421"/>
      <c r="C68" s="574"/>
      <c r="G68" s="435"/>
      <c r="I68" s="436"/>
      <c r="J68" s="432"/>
      <c r="K68" s="437"/>
      <c r="L68" s="842"/>
      <c r="M68" s="574" t="s">
        <v>402</v>
      </c>
      <c r="Q68" s="435"/>
      <c r="R68" s="272" t="s">
        <v>392</v>
      </c>
      <c r="S68" s="453">
        <f>S65</f>
        <v>10</v>
      </c>
      <c r="T68" s="432">
        <f>T67</f>
        <v>45000</v>
      </c>
    </row>
    <row r="69" spans="2:20">
      <c r="B69" s="421"/>
      <c r="C69" s="574"/>
      <c r="G69" s="435"/>
      <c r="I69" s="453"/>
      <c r="J69" s="432"/>
      <c r="K69" s="437"/>
      <c r="L69" s="867"/>
      <c r="M69" s="574" t="s">
        <v>403</v>
      </c>
      <c r="Q69" s="435"/>
      <c r="R69" s="272" t="s">
        <v>392</v>
      </c>
      <c r="S69" s="453">
        <f>S64</f>
        <v>15</v>
      </c>
      <c r="T69" s="432">
        <v>120000</v>
      </c>
    </row>
    <row r="70" spans="2:20">
      <c r="B70" s="421"/>
      <c r="C70" s="574"/>
      <c r="G70" s="435"/>
      <c r="I70" s="453"/>
      <c r="J70" s="432"/>
      <c r="K70" s="437"/>
      <c r="L70" s="867"/>
      <c r="M70" s="558"/>
      <c r="R70" s="272"/>
      <c r="S70" s="975"/>
      <c r="T70" s="974"/>
    </row>
    <row r="71" spans="2:20">
      <c r="B71" s="421"/>
      <c r="C71" s="434"/>
      <c r="G71" s="435"/>
      <c r="I71" s="979"/>
      <c r="J71" s="432"/>
      <c r="K71" s="437"/>
      <c r="L71" s="867"/>
      <c r="M71" s="558"/>
      <c r="R71" s="272"/>
      <c r="S71" s="975"/>
      <c r="T71" s="974"/>
    </row>
    <row r="72" spans="2:20">
      <c r="B72" s="421"/>
      <c r="C72" s="434"/>
      <c r="G72" s="435"/>
      <c r="I72" s="979"/>
      <c r="J72" s="439" t="s">
        <v>377</v>
      </c>
      <c r="K72" s="440">
        <f>SUM(K65:K71)</f>
        <v>0</v>
      </c>
      <c r="L72" s="867"/>
      <c r="M72" s="558"/>
      <c r="R72" s="272"/>
      <c r="S72" s="975"/>
      <c r="T72" s="974"/>
    </row>
    <row r="73" spans="2:20" ht="16.5" thickBot="1">
      <c r="B73" s="459"/>
      <c r="C73" s="460"/>
      <c r="D73" s="461"/>
      <c r="E73" s="461"/>
      <c r="F73" s="461"/>
      <c r="G73" s="462"/>
      <c r="H73" s="463"/>
      <c r="I73" s="978"/>
      <c r="J73" s="465"/>
      <c r="K73" s="466"/>
      <c r="L73" s="867"/>
      <c r="M73" s="558"/>
      <c r="R73" s="272"/>
      <c r="S73" s="975"/>
      <c r="T73" s="974"/>
    </row>
    <row r="74" spans="2:20">
      <c r="B74" s="421"/>
      <c r="C74" s="964"/>
      <c r="D74" s="964"/>
      <c r="E74" s="964"/>
      <c r="F74" s="964"/>
      <c r="G74" s="964"/>
      <c r="H74" s="966"/>
      <c r="I74" s="977"/>
      <c r="J74" s="976"/>
      <c r="K74" s="440"/>
      <c r="L74" s="867"/>
      <c r="M74" s="558"/>
      <c r="R74" s="272"/>
      <c r="S74" s="975"/>
      <c r="T74" s="974"/>
    </row>
    <row r="75" spans="2:20">
      <c r="B75" s="421"/>
      <c r="G75" s="272"/>
      <c r="I75" s="973"/>
      <c r="J75" s="418" t="s">
        <v>410</v>
      </c>
      <c r="K75" s="467">
        <f>SUM(K14:K72)/2</f>
        <v>89100000</v>
      </c>
      <c r="L75" s="848"/>
      <c r="M75" s="448"/>
    </row>
    <row r="76" spans="2:20" ht="16.5" thickBot="1">
      <c r="B76" s="468"/>
      <c r="C76" s="470"/>
      <c r="D76" s="470"/>
      <c r="E76" s="470"/>
      <c r="F76" s="470"/>
      <c r="G76" s="470"/>
      <c r="H76" s="472"/>
      <c r="I76" s="972"/>
      <c r="J76" s="971"/>
      <c r="K76" s="475"/>
      <c r="L76" s="867"/>
    </row>
    <row r="77" spans="2:20" ht="16.5" thickTop="1">
      <c r="I77" s="970"/>
      <c r="J77" s="477"/>
      <c r="K77" s="478"/>
      <c r="L77" s="867"/>
    </row>
    <row r="78" spans="2:20">
      <c r="I78" s="970"/>
      <c r="J78" s="477"/>
      <c r="K78" s="479"/>
      <c r="L78" s="867"/>
    </row>
    <row r="79" spans="2:20">
      <c r="I79" s="970"/>
      <c r="J79" s="477"/>
      <c r="K79" s="478"/>
      <c r="L79" s="867"/>
    </row>
    <row r="80" spans="2:20">
      <c r="I80" s="970"/>
      <c r="J80" s="477"/>
      <c r="K80" s="479"/>
      <c r="L80" s="867"/>
    </row>
    <row r="81" spans="8:12">
      <c r="I81" s="970"/>
      <c r="J81" s="477"/>
      <c r="K81" s="479"/>
      <c r="L81" s="867"/>
    </row>
    <row r="82" spans="8:12">
      <c r="I82" s="970"/>
      <c r="J82" s="477"/>
      <c r="K82" s="479"/>
      <c r="L82" s="867"/>
    </row>
    <row r="83" spans="8:12">
      <c r="I83" s="970"/>
      <c r="J83" s="477"/>
      <c r="K83" s="479"/>
      <c r="L83" s="867"/>
    </row>
    <row r="84" spans="8:12">
      <c r="I84" s="970"/>
      <c r="J84" s="477"/>
      <c r="K84" s="479"/>
      <c r="L84" s="867"/>
    </row>
    <row r="85" spans="8:12">
      <c r="I85" s="970"/>
      <c r="J85" s="477"/>
      <c r="K85" s="479"/>
      <c r="L85" s="867"/>
    </row>
    <row r="86" spans="8:12">
      <c r="I86" s="970"/>
      <c r="J86" s="477"/>
      <c r="K86" s="479"/>
      <c r="L86" s="867"/>
    </row>
    <row r="87" spans="8:12">
      <c r="I87" s="970"/>
      <c r="J87" s="477"/>
      <c r="K87" s="479"/>
      <c r="L87" s="867"/>
    </row>
    <row r="88" spans="8:12">
      <c r="I88" s="970"/>
      <c r="J88" s="477"/>
      <c r="K88" s="479"/>
      <c r="L88" s="867"/>
    </row>
    <row r="90" spans="8:12">
      <c r="H90" s="417"/>
      <c r="K90" s="480"/>
    </row>
    <row r="91" spans="8:12">
      <c r="H91" s="417"/>
      <c r="K91" s="448"/>
    </row>
    <row r="92" spans="8:12">
      <c r="K92" s="481"/>
    </row>
    <row r="93" spans="8:12">
      <c r="H93" s="417"/>
    </row>
    <row r="98" spans="8:8">
      <c r="H98" s="482"/>
    </row>
  </sheetData>
  <mergeCells count="2">
    <mergeCell ref="I8:K8"/>
    <mergeCell ref="L10:L1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D5984F-35C3-4CDC-B5F5-3821BDAA6848}">
  <sheetPr>
    <tabColor rgb="FFFFFF00"/>
    <pageSetUpPr fitToPage="1"/>
  </sheetPr>
  <dimension ref="A2:L34"/>
  <sheetViews>
    <sheetView topLeftCell="A5" workbookViewId="0">
      <selection activeCell="H30" sqref="H30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9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959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961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Cafe 200 m2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tr">
        <f>BQCafe200!C12</f>
        <v>PEKERJAAN PERSIAPAN &amp; PENYELESAIAN</v>
      </c>
      <c r="D14" s="58"/>
      <c r="E14" s="58"/>
      <c r="F14" s="58"/>
      <c r="G14" s="58"/>
      <c r="H14" s="483">
        <f>BQCafe200!K19</f>
        <v>5000000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tr">
        <f>BQCafe200!C20</f>
        <v>PEKERJAAN LAN</v>
      </c>
      <c r="D15" s="58"/>
      <c r="E15" s="58"/>
      <c r="F15" s="58"/>
      <c r="G15" s="58"/>
      <c r="H15" s="483">
        <f>BQCafe200!K27</f>
        <v>15500000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tr">
        <f>BQCafe200!C28</f>
        <v>PEKERJAAN CCTV</v>
      </c>
      <c r="D16" s="58"/>
      <c r="E16" s="58"/>
      <c r="F16" s="58"/>
      <c r="G16" s="58"/>
      <c r="H16" s="483">
        <f>BQCafe200!K37</f>
        <v>20400000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tr">
        <f>BQCafe200!C38</f>
        <v>PEKERJAAN WIFI</v>
      </c>
      <c r="D17" s="58"/>
      <c r="E17" s="58"/>
      <c r="F17" s="58"/>
      <c r="G17" s="58"/>
      <c r="H17" s="483">
        <f>BQCafe200!K45</f>
        <v>27000000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tr">
        <f>BQCafe200!C46</f>
        <v>MATERIAL TAMBAHAN</v>
      </c>
      <c r="D18" s="58"/>
      <c r="E18" s="58"/>
      <c r="F18" s="58"/>
      <c r="G18" s="58"/>
      <c r="H18" s="483">
        <f>BQCafe200!K50</f>
        <v>3500000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tr">
        <f>BQCafe200!C51</f>
        <v>PEKERJAAN PABX</v>
      </c>
      <c r="D19" s="58"/>
      <c r="E19" s="58"/>
      <c r="F19" s="58"/>
      <c r="G19" s="58"/>
      <c r="H19" s="483">
        <f>BQCafe200!K58</f>
        <v>17700000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tr">
        <f>BQCafe200!C59</f>
        <v>-</v>
      </c>
      <c r="D20" s="58"/>
      <c r="E20" s="58"/>
      <c r="F20" s="58"/>
      <c r="G20" s="58"/>
      <c r="H20" s="483">
        <f>BQCafe200!K63</f>
        <v>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tr">
        <f>BQCafe200!C64</f>
        <v>-</v>
      </c>
      <c r="D21" s="58"/>
      <c r="E21" s="58"/>
      <c r="F21" s="58"/>
      <c r="G21" s="58"/>
      <c r="H21" s="483">
        <f>BQCafe200!K74</f>
        <v>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tr">
        <f>BQCafe200!C75</f>
        <v>-</v>
      </c>
      <c r="D22" s="58"/>
      <c r="E22" s="58"/>
      <c r="F22" s="58"/>
      <c r="G22" s="58"/>
      <c r="H22" s="483">
        <f>BQCafe200!K82</f>
        <v>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tr">
        <f>BQCafe200!C83</f>
        <v>-</v>
      </c>
      <c r="D23" s="58"/>
      <c r="E23" s="58"/>
      <c r="F23" s="58"/>
      <c r="G23" s="58"/>
      <c r="H23" s="483">
        <f>BQCafe200!K87</f>
        <v>0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tr">
        <f>BQCafe200!C88</f>
        <v>-</v>
      </c>
      <c r="D24" s="58"/>
      <c r="E24" s="58"/>
      <c r="F24" s="58"/>
      <c r="G24" s="58"/>
      <c r="H24" s="483">
        <f>BQCafe200!K94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tr">
        <f>BQCafe200!C95</f>
        <v>-</v>
      </c>
      <c r="D25" s="58"/>
      <c r="E25" s="58"/>
      <c r="F25" s="58"/>
      <c r="G25" s="58"/>
      <c r="H25" s="483">
        <f>BQCafe200!K103</f>
        <v>0</v>
      </c>
      <c r="I25" s="39"/>
      <c r="J25" s="39"/>
      <c r="K25" s="39"/>
      <c r="L25" s="39"/>
    </row>
    <row r="26" spans="1:12" s="60" customFormat="1">
      <c r="A26" s="39"/>
      <c r="B26" s="55" t="s">
        <v>37</v>
      </c>
      <c r="C26" s="56" t="str">
        <f>BQCafe200!C104</f>
        <v>-</v>
      </c>
      <c r="D26" s="58"/>
      <c r="E26" s="58"/>
      <c r="F26" s="58"/>
      <c r="G26" s="58"/>
      <c r="H26" s="483">
        <f>BQCafe200!K110</f>
        <v>0</v>
      </c>
      <c r="I26" s="39"/>
      <c r="J26" s="39"/>
      <c r="K26" s="39"/>
      <c r="L26" s="39"/>
    </row>
    <row r="27" spans="1:12" s="60" customFormat="1">
      <c r="A27" s="39"/>
      <c r="B27" s="55"/>
      <c r="G27" s="58"/>
      <c r="H27" s="483"/>
      <c r="I27" s="39"/>
      <c r="J27" s="39"/>
      <c r="K27" s="39"/>
      <c r="L27" s="39"/>
    </row>
    <row r="28" spans="1:12" ht="16.5" thickBot="1">
      <c r="B28" s="69"/>
      <c r="C28" s="70"/>
      <c r="D28" s="70"/>
      <c r="E28" s="70"/>
      <c r="F28" s="70"/>
      <c r="G28" s="70"/>
      <c r="H28" s="484"/>
    </row>
    <row r="29" spans="1:12" ht="17.25" thickTop="1" thickBot="1">
      <c r="B29" s="72"/>
      <c r="C29" s="73"/>
      <c r="D29" s="73"/>
      <c r="E29" s="73"/>
      <c r="F29" s="74" t="s">
        <v>41</v>
      </c>
      <c r="G29" s="74"/>
      <c r="H29" s="75">
        <f>SUM(H14:H28)</f>
        <v>89100000</v>
      </c>
    </row>
    <row r="30" spans="1:12" ht="16.5" thickTop="1">
      <c r="B30" s="76"/>
      <c r="C30" s="77"/>
      <c r="D30" s="77"/>
      <c r="E30" s="77"/>
      <c r="F30" s="77"/>
      <c r="G30" s="77"/>
      <c r="H30" s="78"/>
    </row>
    <row r="31" spans="1:12">
      <c r="B31" s="79"/>
      <c r="C31" s="1075"/>
      <c r="D31" s="1075"/>
      <c r="E31" s="1075"/>
      <c r="F31" s="1076" t="s">
        <v>5</v>
      </c>
      <c r="G31" s="1076">
        <v>19</v>
      </c>
      <c r="H31" s="835">
        <f>G31*H29</f>
        <v>1692900000</v>
      </c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CA2B1A-3585-4670-9703-BA11BCB309F9}">
  <dimension ref="A1:S136"/>
  <sheetViews>
    <sheetView topLeftCell="A25" workbookViewId="0">
      <selection activeCell="C23" sqref="C23"/>
    </sheetView>
  </sheetViews>
  <sheetFormatPr defaultColWidth="9.140625" defaultRowHeight="15.75"/>
  <cols>
    <col min="1" max="1" width="9.140625" style="849"/>
    <col min="2" max="2" width="6.42578125" style="849" customWidth="1"/>
    <col min="3" max="6" width="10.7109375" style="849" customWidth="1"/>
    <col min="7" max="7" width="18" style="849" customWidth="1"/>
    <col min="8" max="8" width="7.42578125" style="996" bestFit="1" customWidth="1"/>
    <col min="9" max="9" width="9.42578125" style="1054" customWidth="1"/>
    <col min="10" max="10" width="12.7109375" style="923" bestFit="1" customWidth="1"/>
    <col min="11" max="11" width="15.5703125" style="849" customWidth="1"/>
    <col min="12" max="12" width="9.28515625" style="849" customWidth="1"/>
    <col min="13" max="13" width="12.42578125" style="849" bestFit="1" customWidth="1"/>
    <col min="14" max="18" width="9.140625" style="849"/>
    <col min="19" max="19" width="15.28515625" style="1055" bestFit="1" customWidth="1"/>
    <col min="20" max="16384" width="9.140625" style="849"/>
  </cols>
  <sheetData>
    <row r="1" spans="2:15">
      <c r="B1" s="888"/>
      <c r="C1" s="558"/>
      <c r="D1" s="558"/>
      <c r="E1" s="558"/>
      <c r="F1" s="558"/>
      <c r="G1" s="558"/>
      <c r="H1" s="559"/>
      <c r="I1" s="1061"/>
      <c r="J1" s="560"/>
      <c r="K1" s="558"/>
    </row>
    <row r="2" spans="2:15">
      <c r="B2" s="888"/>
      <c r="C2" s="558"/>
      <c r="D2" s="558"/>
      <c r="E2" s="558"/>
      <c r="F2" s="558"/>
      <c r="G2" s="558"/>
      <c r="H2" s="559"/>
      <c r="I2" s="1061"/>
      <c r="K2" s="558"/>
    </row>
    <row r="3" spans="2:15">
      <c r="B3" s="1022" t="s">
        <v>0</v>
      </c>
      <c r="C3" s="40"/>
      <c r="D3" s="40"/>
      <c r="E3" s="40"/>
      <c r="F3" s="40"/>
      <c r="G3" s="40"/>
      <c r="H3" s="612"/>
      <c r="I3" s="1062"/>
      <c r="J3" s="1023"/>
      <c r="K3" s="1024"/>
    </row>
    <row r="4" spans="2:15">
      <c r="B4" s="1025" t="s">
        <v>959</v>
      </c>
      <c r="C4" s="40"/>
      <c r="D4" s="40"/>
      <c r="E4" s="40"/>
      <c r="F4" s="40"/>
      <c r="G4" s="40"/>
      <c r="H4" s="612"/>
      <c r="I4" s="1062"/>
      <c r="J4" s="1023"/>
      <c r="K4" s="1024"/>
    </row>
    <row r="5" spans="2:15">
      <c r="B5" s="1026" t="s">
        <v>1</v>
      </c>
      <c r="C5" s="40"/>
      <c r="D5" s="40"/>
      <c r="E5" s="40"/>
      <c r="F5" s="40"/>
      <c r="G5" s="40"/>
      <c r="H5" s="559"/>
      <c r="I5" s="1061"/>
      <c r="J5" s="1023"/>
      <c r="K5" s="1024"/>
    </row>
    <row r="6" spans="2:15" ht="15.6" customHeight="1">
      <c r="B6" s="1022" t="s">
        <v>2</v>
      </c>
      <c r="C6" s="40"/>
      <c r="D6" s="40"/>
      <c r="E6" s="40"/>
      <c r="F6" s="40"/>
      <c r="G6" s="40"/>
      <c r="H6" s="612"/>
      <c r="I6" s="1062"/>
      <c r="J6" s="1023"/>
      <c r="K6" s="1024"/>
      <c r="L6" s="1144"/>
    </row>
    <row r="7" spans="2:15">
      <c r="B7" s="1026" t="s">
        <v>3</v>
      </c>
      <c r="C7" s="40"/>
      <c r="D7" s="40"/>
      <c r="E7" s="40"/>
      <c r="F7" s="40"/>
      <c r="G7" s="40"/>
      <c r="H7" s="612"/>
      <c r="I7" s="1062"/>
      <c r="J7" s="1023"/>
      <c r="K7" s="1024"/>
      <c r="L7" s="1145"/>
    </row>
    <row r="8" spans="2:15" ht="16.5" thickBot="1">
      <c r="B8" s="1027"/>
      <c r="C8" s="39"/>
      <c r="D8" s="39"/>
      <c r="E8" s="39"/>
      <c r="F8" s="39"/>
      <c r="G8" s="39"/>
      <c r="H8" s="39"/>
      <c r="I8" s="1143" t="s">
        <v>960</v>
      </c>
      <c r="J8" s="1143"/>
      <c r="K8" s="1143"/>
      <c r="L8" s="1028"/>
      <c r="N8" s="997"/>
      <c r="O8" s="1029"/>
    </row>
    <row r="9" spans="2:15" ht="16.5" thickTop="1">
      <c r="B9" s="1030"/>
      <c r="C9" s="47"/>
      <c r="D9" s="47"/>
      <c r="E9" s="47"/>
      <c r="F9" s="47"/>
      <c r="G9" s="47"/>
      <c r="H9" s="1031"/>
      <c r="I9" s="1063"/>
      <c r="J9" s="1032" t="s">
        <v>4</v>
      </c>
      <c r="K9" s="48" t="s">
        <v>5</v>
      </c>
      <c r="L9" s="1028"/>
      <c r="N9" s="997"/>
      <c r="O9" s="1029"/>
    </row>
    <row r="10" spans="2:15">
      <c r="B10" s="1033" t="s">
        <v>6</v>
      </c>
      <c r="C10" s="1034" t="s">
        <v>7</v>
      </c>
      <c r="D10" s="1034"/>
      <c r="E10" s="1034"/>
      <c r="F10" s="1034"/>
      <c r="G10" s="1034"/>
      <c r="H10" s="1035" t="s">
        <v>8</v>
      </c>
      <c r="I10" s="1064" t="s">
        <v>9</v>
      </c>
      <c r="J10" s="1036" t="s">
        <v>8</v>
      </c>
      <c r="K10" s="51" t="s">
        <v>4</v>
      </c>
      <c r="L10" s="1028"/>
      <c r="N10" s="997"/>
      <c r="O10" s="1029"/>
    </row>
    <row r="11" spans="2:15" ht="16.5" thickBot="1">
      <c r="B11" s="1037"/>
      <c r="C11" s="53"/>
      <c r="D11" s="53"/>
      <c r="E11" s="53"/>
      <c r="F11" s="53"/>
      <c r="G11" s="53"/>
      <c r="H11" s="1038"/>
      <c r="I11" s="1065"/>
      <c r="J11" s="1039" t="s">
        <v>10</v>
      </c>
      <c r="K11" s="54" t="s">
        <v>10</v>
      </c>
      <c r="L11" s="1028"/>
      <c r="N11" s="997"/>
      <c r="O11" s="1029"/>
    </row>
    <row r="12" spans="2:15" ht="16.5" thickTop="1">
      <c r="B12" s="449" t="s">
        <v>339</v>
      </c>
      <c r="C12" s="1040" t="s">
        <v>340</v>
      </c>
      <c r="D12" s="1041"/>
      <c r="E12" s="1041"/>
      <c r="F12" s="1041"/>
      <c r="G12" s="1042"/>
      <c r="I12" s="1066"/>
      <c r="J12" s="1043"/>
      <c r="K12" s="573"/>
      <c r="L12" s="1044"/>
      <c r="N12" s="996"/>
    </row>
    <row r="13" spans="2:15">
      <c r="B13" s="561">
        <v>1</v>
      </c>
      <c r="C13" s="434" t="str">
        <f>[80]Sheet1!$B$3</f>
        <v xml:space="preserve">Pembersihan awal dan Selama Proyek Berjalan </v>
      </c>
      <c r="G13" s="575"/>
      <c r="H13" s="272" t="s">
        <v>357</v>
      </c>
      <c r="I13" s="1067">
        <v>1</v>
      </c>
      <c r="J13" s="454">
        <f>[80]Sheet1!$D$3</f>
        <v>1000000</v>
      </c>
      <c r="K13" s="455">
        <f>I13*J13</f>
        <v>1000000</v>
      </c>
      <c r="L13" s="929"/>
      <c r="N13" s="996"/>
    </row>
    <row r="14" spans="2:15">
      <c r="B14" s="561">
        <f>B13+1</f>
        <v>2</v>
      </c>
      <c r="C14" s="434" t="str">
        <f>[80]Sheet1!$B$4</f>
        <v>Pembersihan akhir sampah dll</v>
      </c>
      <c r="G14" s="575"/>
      <c r="H14" s="272" t="s">
        <v>357</v>
      </c>
      <c r="I14" s="1067">
        <v>1</v>
      </c>
      <c r="J14" s="454">
        <f>[80]Sheet1!$D$4</f>
        <v>1000000</v>
      </c>
      <c r="K14" s="455">
        <f>I14*J14</f>
        <v>1000000</v>
      </c>
      <c r="L14" s="929"/>
      <c r="N14" s="996"/>
    </row>
    <row r="15" spans="2:15">
      <c r="B15" s="561">
        <f>B14+1</f>
        <v>3</v>
      </c>
      <c r="C15" s="1113" t="str">
        <f>[80]Sheet1!$B$5</f>
        <v>Survey</v>
      </c>
      <c r="G15" s="575"/>
      <c r="H15" s="272" t="s">
        <v>357</v>
      </c>
      <c r="I15" s="1067">
        <v>1</v>
      </c>
      <c r="J15" s="454">
        <f>[80]Sheet1!$D$5</f>
        <v>2000000</v>
      </c>
      <c r="K15" s="455">
        <f>I15*J15</f>
        <v>2000000</v>
      </c>
      <c r="L15" s="929"/>
      <c r="N15" s="996"/>
    </row>
    <row r="16" spans="2:15">
      <c r="B16" s="561">
        <f>B15+1</f>
        <v>4</v>
      </c>
      <c r="C16" s="1113" t="str">
        <f>[80]Sheet1!$B$6</f>
        <v>Pembuatan gambar teknis</v>
      </c>
      <c r="G16" s="575"/>
      <c r="H16" s="272" t="s">
        <v>357</v>
      </c>
      <c r="I16" s="1067">
        <v>1</v>
      </c>
      <c r="J16" s="454">
        <f>[80]Sheet1!$D$6</f>
        <v>1000000</v>
      </c>
      <c r="K16" s="455">
        <f>I16*J16</f>
        <v>1000000</v>
      </c>
      <c r="L16" s="929"/>
      <c r="N16" s="996"/>
    </row>
    <row r="17" spans="2:14">
      <c r="B17" s="561">
        <f>B16+1</f>
        <v>5</v>
      </c>
      <c r="C17" s="574"/>
      <c r="G17" s="575"/>
      <c r="I17" s="1067">
        <v>0</v>
      </c>
      <c r="J17" s="454">
        <v>0</v>
      </c>
      <c r="K17" s="455">
        <f>I17*J17</f>
        <v>0</v>
      </c>
      <c r="L17" s="929"/>
      <c r="N17" s="996"/>
    </row>
    <row r="18" spans="2:14">
      <c r="B18" s="576"/>
      <c r="C18" s="574"/>
      <c r="G18" s="575"/>
      <c r="I18" s="1067"/>
      <c r="J18" s="454"/>
      <c r="K18" s="455"/>
      <c r="L18" s="929"/>
    </row>
    <row r="19" spans="2:14">
      <c r="B19" s="561"/>
      <c r="C19" s="574"/>
      <c r="G19" s="943"/>
      <c r="I19" s="1067"/>
      <c r="J19" s="938" t="s">
        <v>348</v>
      </c>
      <c r="K19" s="578">
        <f>SUM(K13:K17)</f>
        <v>5000000</v>
      </c>
      <c r="L19" s="928"/>
      <c r="M19" s="1045"/>
    </row>
    <row r="20" spans="2:14">
      <c r="B20" s="449" t="s">
        <v>349</v>
      </c>
      <c r="C20" s="568" t="s">
        <v>1005</v>
      </c>
      <c r="D20" s="1029"/>
      <c r="E20" s="1029"/>
      <c r="F20" s="1029"/>
      <c r="G20" s="575"/>
      <c r="I20" s="1067"/>
      <c r="J20" s="454"/>
      <c r="K20" s="455"/>
      <c r="L20" s="1044"/>
    </row>
    <row r="21" spans="2:14">
      <c r="B21" s="561">
        <v>1</v>
      </c>
      <c r="C21" s="1114" t="str">
        <f>[80]Sheet1!$B$8</f>
        <v> Kabel UTP</v>
      </c>
      <c r="G21" s="575"/>
      <c r="H21" s="272" t="s">
        <v>1006</v>
      </c>
      <c r="I21" s="1067">
        <v>1</v>
      </c>
      <c r="J21" s="454">
        <f>[80]Sheet1!$D$8</f>
        <v>2000000</v>
      </c>
      <c r="K21" s="455">
        <f>I21*J21</f>
        <v>2000000</v>
      </c>
      <c r="L21" s="929"/>
      <c r="M21" s="1045"/>
    </row>
    <row r="22" spans="2:14">
      <c r="B22" s="561">
        <v>2</v>
      </c>
      <c r="C22" s="1114" t="str">
        <f>[80]Sheet1!$B$9</f>
        <v>Konektor RJ-45</v>
      </c>
      <c r="G22" s="575"/>
      <c r="H22" s="272" t="s">
        <v>1013</v>
      </c>
      <c r="I22" s="1067">
        <v>1</v>
      </c>
      <c r="J22" s="454">
        <f>[80]Sheet1!$D$9</f>
        <v>1500000</v>
      </c>
      <c r="K22" s="455">
        <f>I22*J22</f>
        <v>1500000</v>
      </c>
      <c r="L22" s="929"/>
      <c r="M22" s="1045"/>
    </row>
    <row r="23" spans="2:14">
      <c r="B23" s="561">
        <v>3</v>
      </c>
      <c r="C23" s="1114" t="str">
        <f>[80]Sheet1!$B$10</f>
        <v>Kartu Jaringan (LAN Card)</v>
      </c>
      <c r="G23" s="575"/>
      <c r="H23" s="272" t="s">
        <v>392</v>
      </c>
      <c r="I23" s="1067">
        <v>1</v>
      </c>
      <c r="J23" s="454">
        <f>[80]Sheet1!$D$10</f>
        <v>1500000</v>
      </c>
      <c r="K23" s="455">
        <f>I23*J23</f>
        <v>1500000</v>
      </c>
      <c r="L23" s="929"/>
    </row>
    <row r="24" spans="2:14">
      <c r="B24" s="561">
        <f>B23+1</f>
        <v>4</v>
      </c>
      <c r="C24" s="1114" t="str">
        <f>[80]Sheet1!$B$11</f>
        <v>Switch / Hub Managable</v>
      </c>
      <c r="G24" s="575"/>
      <c r="H24" s="272" t="s">
        <v>392</v>
      </c>
      <c r="I24" s="1067">
        <v>1</v>
      </c>
      <c r="J24" s="454">
        <f>[80]Sheet1!$D$11</f>
        <v>10000000</v>
      </c>
      <c r="K24" s="455">
        <f>I24*J24</f>
        <v>10000000</v>
      </c>
      <c r="L24" s="929"/>
    </row>
    <row r="25" spans="2:14">
      <c r="B25" s="561">
        <f>B24+1</f>
        <v>5</v>
      </c>
      <c r="C25" s="1114" t="str">
        <f>[80]Sheet1!$B$12</f>
        <v>Alat dukung</v>
      </c>
      <c r="G25" s="575"/>
      <c r="H25" s="272" t="s">
        <v>392</v>
      </c>
      <c r="I25" s="1057">
        <v>1</v>
      </c>
      <c r="J25" s="939">
        <f>[80]Sheet1!$D$12</f>
        <v>500000</v>
      </c>
      <c r="K25" s="455">
        <f>I25*J25</f>
        <v>500000</v>
      </c>
      <c r="L25" s="929"/>
    </row>
    <row r="26" spans="2:14">
      <c r="B26" s="561"/>
      <c r="C26" s="574"/>
      <c r="G26" s="575"/>
      <c r="H26" s="849"/>
      <c r="I26" s="1057"/>
      <c r="J26" s="939"/>
      <c r="K26" s="455"/>
      <c r="L26" s="1044"/>
      <c r="M26" s="1046"/>
    </row>
    <row r="27" spans="2:14">
      <c r="B27" s="561"/>
      <c r="C27" s="574"/>
      <c r="G27" s="943"/>
      <c r="I27" s="1067"/>
      <c r="J27" s="938" t="s">
        <v>353</v>
      </c>
      <c r="K27" s="578">
        <f>SUM(K21:K26)</f>
        <v>15500000</v>
      </c>
      <c r="L27" s="928"/>
      <c r="M27" s="1045"/>
    </row>
    <row r="28" spans="2:14">
      <c r="B28" s="449" t="s">
        <v>354</v>
      </c>
      <c r="C28" s="568" t="s">
        <v>1012</v>
      </c>
      <c r="D28" s="1029"/>
      <c r="E28" s="1029"/>
      <c r="F28" s="1029"/>
      <c r="G28" s="575"/>
      <c r="I28" s="1067"/>
      <c r="J28" s="454"/>
      <c r="K28" s="455"/>
      <c r="L28" s="1044"/>
    </row>
    <row r="29" spans="2:14">
      <c r="B29" s="561">
        <v>1</v>
      </c>
      <c r="C29" s="1114" t="str">
        <f>[80]Sheet1!$B$14</f>
        <v>Cctv indoor</v>
      </c>
      <c r="G29" s="575"/>
      <c r="H29" s="272" t="s">
        <v>392</v>
      </c>
      <c r="I29" s="1067">
        <v>1</v>
      </c>
      <c r="J29" s="454">
        <f>[80]Sheet1!$D$14</f>
        <v>3500000</v>
      </c>
      <c r="K29" s="455">
        <f>I29*J29</f>
        <v>3500000</v>
      </c>
      <c r="L29" s="929"/>
    </row>
    <row r="30" spans="2:14">
      <c r="B30" s="561">
        <f>B29+1</f>
        <v>2</v>
      </c>
      <c r="C30" s="1114" t="str">
        <f>[80]Sheet1!$B$15</f>
        <v>Cctv outdoor</v>
      </c>
      <c r="G30" s="575"/>
      <c r="H30" s="272" t="s">
        <v>392</v>
      </c>
      <c r="I30" s="1067">
        <v>1</v>
      </c>
      <c r="J30" s="454">
        <f>[80]Sheet1!$D$15</f>
        <v>3500000</v>
      </c>
      <c r="K30" s="455">
        <f>I30*J30</f>
        <v>3500000</v>
      </c>
      <c r="L30" s="929"/>
    </row>
    <row r="31" spans="2:14">
      <c r="B31" s="561">
        <f>B30+1</f>
        <v>3</v>
      </c>
      <c r="C31" s="1114" t="str">
        <f>[80]Sheet1!$B$16</f>
        <v>DVR</v>
      </c>
      <c r="G31" s="575"/>
      <c r="H31" s="272" t="s">
        <v>392</v>
      </c>
      <c r="I31" s="1067">
        <v>1</v>
      </c>
      <c r="J31" s="454">
        <f>[80]Sheet1!$D$16</f>
        <v>5000000</v>
      </c>
      <c r="K31" s="455">
        <f>I31*J31</f>
        <v>5000000</v>
      </c>
      <c r="L31" s="929"/>
      <c r="M31" s="1046"/>
    </row>
    <row r="32" spans="2:14">
      <c r="B32" s="561">
        <f t="shared" ref="B32:B36" si="0">B31+1</f>
        <v>4</v>
      </c>
      <c r="C32" s="1114" t="str">
        <f>[80]Sheet1!$B$17</f>
        <v>Adapter dan Power Supply.</v>
      </c>
      <c r="G32" s="575"/>
      <c r="H32" s="272" t="s">
        <v>392</v>
      </c>
      <c r="I32" s="1067">
        <v>1</v>
      </c>
      <c r="J32" s="454">
        <f>[80]Sheet1!$D$17</f>
        <v>900000</v>
      </c>
      <c r="K32" s="455">
        <f t="shared" ref="K32:K36" si="1">I32*J32</f>
        <v>900000</v>
      </c>
      <c r="L32" s="929"/>
      <c r="M32" s="1046"/>
    </row>
    <row r="33" spans="2:13">
      <c r="B33" s="561">
        <f t="shared" si="0"/>
        <v>5</v>
      </c>
      <c r="C33" s="1114" t="str">
        <f>[80]Sheet1!$B$18</f>
        <v>Kabel Power.</v>
      </c>
      <c r="G33" s="575"/>
      <c r="H33" s="272" t="s">
        <v>1006</v>
      </c>
      <c r="I33" s="1067">
        <v>1</v>
      </c>
      <c r="J33" s="454">
        <f>[80]Sheet1!$D$18</f>
        <v>1000000</v>
      </c>
      <c r="K33" s="455">
        <f t="shared" si="1"/>
        <v>1000000</v>
      </c>
      <c r="L33" s="929"/>
      <c r="M33" s="1046"/>
    </row>
    <row r="34" spans="2:13">
      <c r="B34" s="561">
        <f t="shared" si="0"/>
        <v>6</v>
      </c>
      <c r="C34" s="1114" t="str">
        <f>[80]Sheet1!$B$19</f>
        <v>Crimp Kabel.</v>
      </c>
      <c r="G34" s="575"/>
      <c r="H34" s="272" t="s">
        <v>392</v>
      </c>
      <c r="I34" s="1067">
        <v>1</v>
      </c>
      <c r="J34" s="454">
        <f>[80]Sheet1!$D$19</f>
        <v>2000000</v>
      </c>
      <c r="K34" s="455">
        <f t="shared" si="1"/>
        <v>2000000</v>
      </c>
      <c r="L34" s="929"/>
      <c r="M34" s="1046"/>
    </row>
    <row r="35" spans="2:13">
      <c r="B35" s="561">
        <f t="shared" si="0"/>
        <v>7</v>
      </c>
      <c r="C35" s="1114" t="str">
        <f>[80]Sheet1!$B$20</f>
        <v>Kabel Coaxial.</v>
      </c>
      <c r="G35" s="575"/>
      <c r="H35" s="272" t="s">
        <v>1006</v>
      </c>
      <c r="I35" s="1067">
        <v>1</v>
      </c>
      <c r="J35" s="454">
        <f>[80]Sheet1!$D$20</f>
        <v>3500000</v>
      </c>
      <c r="K35" s="455">
        <f t="shared" si="1"/>
        <v>3500000</v>
      </c>
      <c r="L35" s="929"/>
      <c r="M35" s="1046"/>
    </row>
    <row r="36" spans="2:13">
      <c r="B36" s="561">
        <f t="shared" si="0"/>
        <v>8</v>
      </c>
      <c r="C36" s="1114" t="str">
        <f>[80]Sheet1!$B$21</f>
        <v>Konektor RF.</v>
      </c>
      <c r="G36" s="575"/>
      <c r="H36" s="272" t="s">
        <v>1013</v>
      </c>
      <c r="I36" s="1067">
        <v>1</v>
      </c>
      <c r="J36" s="454">
        <f>[80]Sheet1!$D$21</f>
        <v>1000000</v>
      </c>
      <c r="K36" s="455">
        <f t="shared" si="1"/>
        <v>1000000</v>
      </c>
      <c r="L36" s="929"/>
      <c r="M36" s="1046"/>
    </row>
    <row r="37" spans="2:13">
      <c r="B37" s="561"/>
      <c r="C37" s="574"/>
      <c r="G37" s="943"/>
      <c r="I37" s="1067"/>
      <c r="J37" s="938" t="s">
        <v>358</v>
      </c>
      <c r="K37" s="578">
        <f>SUM(K29:K36)</f>
        <v>20400000</v>
      </c>
      <c r="L37" s="928"/>
      <c r="M37" s="1045"/>
    </row>
    <row r="38" spans="2:13">
      <c r="B38" s="449" t="s">
        <v>359</v>
      </c>
      <c r="C38" s="568" t="s">
        <v>1008</v>
      </c>
      <c r="D38" s="1029"/>
      <c r="E38" s="1029"/>
      <c r="F38" s="1029"/>
      <c r="G38" s="575"/>
      <c r="I38" s="1067"/>
      <c r="J38" s="454"/>
      <c r="K38" s="455"/>
      <c r="L38" s="1044"/>
    </row>
    <row r="39" spans="2:13">
      <c r="B39" s="561">
        <v>1</v>
      </c>
      <c r="C39" s="1114" t="str">
        <f>[80]Sheet1!$B$23</f>
        <v>Acess Point</v>
      </c>
      <c r="G39" s="934"/>
      <c r="H39" s="272" t="s">
        <v>392</v>
      </c>
      <c r="I39" s="1057">
        <v>1</v>
      </c>
      <c r="J39" s="939">
        <f>[80]Sheet1!$D$23</f>
        <v>8500000</v>
      </c>
      <c r="K39" s="455">
        <f>I39*J39</f>
        <v>8500000</v>
      </c>
      <c r="L39" s="929"/>
    </row>
    <row r="40" spans="2:13">
      <c r="B40" s="561">
        <f>B39+1</f>
        <v>2</v>
      </c>
      <c r="C40" s="1114" t="str">
        <f>[80]Sheet1!$B$24</f>
        <v>Antena Omni</v>
      </c>
      <c r="G40" s="934"/>
      <c r="H40" s="272" t="s">
        <v>392</v>
      </c>
      <c r="I40" s="1057">
        <v>1</v>
      </c>
      <c r="J40" s="939">
        <f>[80]Sheet1!$D$24</f>
        <v>10000000</v>
      </c>
      <c r="K40" s="455">
        <f>I40*J40</f>
        <v>10000000</v>
      </c>
      <c r="L40" s="929"/>
    </row>
    <row r="41" spans="2:13">
      <c r="B41" s="561">
        <f t="shared" ref="B41:B44" si="2">B40+1</f>
        <v>3</v>
      </c>
      <c r="C41" s="1114" t="str">
        <f>[80]Sheet1!$B$25</f>
        <v>Kabel Pigtail/Kabel Jumper</v>
      </c>
      <c r="G41" s="934"/>
      <c r="H41" s="272" t="s">
        <v>1006</v>
      </c>
      <c r="I41" s="1057">
        <v>1</v>
      </c>
      <c r="J41" s="939">
        <f>[80]Sheet1!$D$25</f>
        <v>500000</v>
      </c>
      <c r="K41" s="455">
        <f t="shared" ref="K41:K44" si="3">I41*J41</f>
        <v>500000</v>
      </c>
      <c r="L41" s="929"/>
    </row>
    <row r="42" spans="2:13">
      <c r="B42" s="561">
        <f t="shared" si="2"/>
        <v>4</v>
      </c>
      <c r="C42" s="1114" t="str">
        <f>[80]Sheet1!$B$26</f>
        <v>POE (Power Over Ethernet)</v>
      </c>
      <c r="G42" s="934"/>
      <c r="H42" s="272" t="s">
        <v>392</v>
      </c>
      <c r="I42" s="1057">
        <v>1</v>
      </c>
      <c r="J42" s="939">
        <f>[80]Sheet1!$D$26</f>
        <v>2000000</v>
      </c>
      <c r="K42" s="455">
        <f t="shared" si="3"/>
        <v>2000000</v>
      </c>
      <c r="L42" s="929"/>
    </row>
    <row r="43" spans="2:13">
      <c r="B43" s="561">
        <f t="shared" si="2"/>
        <v>5</v>
      </c>
      <c r="C43" s="1114" t="str">
        <f>[80]Sheet1!$B$27</f>
        <v>Kabel UTP/STP</v>
      </c>
      <c r="G43" s="934"/>
      <c r="H43" s="272" t="s">
        <v>1006</v>
      </c>
      <c r="I43" s="1057">
        <v>1</v>
      </c>
      <c r="J43" s="939">
        <f>[80]Sheet1!$D$27</f>
        <v>3000000</v>
      </c>
      <c r="K43" s="455">
        <f t="shared" si="3"/>
        <v>3000000</v>
      </c>
      <c r="L43" s="929"/>
    </row>
    <row r="44" spans="2:13">
      <c r="B44" s="561">
        <f t="shared" si="2"/>
        <v>6</v>
      </c>
      <c r="C44" s="1114" t="str">
        <f>[80]Sheet1!$B$28</f>
        <v>Penangkal Petir (Lightning Arrester)</v>
      </c>
      <c r="G44" s="934"/>
      <c r="H44" s="272" t="s">
        <v>392</v>
      </c>
      <c r="I44" s="1057">
        <v>1</v>
      </c>
      <c r="J44" s="939">
        <f>[80]Sheet1!$D$28</f>
        <v>3000000</v>
      </c>
      <c r="K44" s="455">
        <f t="shared" si="3"/>
        <v>3000000</v>
      </c>
      <c r="L44" s="929"/>
    </row>
    <row r="45" spans="2:13">
      <c r="B45" s="561"/>
      <c r="C45" s="574"/>
      <c r="G45" s="934"/>
      <c r="I45" s="1067"/>
      <c r="J45" s="938" t="s">
        <v>361</v>
      </c>
      <c r="K45" s="578">
        <f>SUM(K39:K44)</f>
        <v>27000000</v>
      </c>
      <c r="L45" s="928"/>
      <c r="M45" s="1047"/>
    </row>
    <row r="46" spans="2:13">
      <c r="B46" s="449" t="s">
        <v>362</v>
      </c>
      <c r="C46" s="568" t="s">
        <v>1009</v>
      </c>
      <c r="D46" s="1029"/>
      <c r="E46" s="1029"/>
      <c r="F46" s="1029"/>
      <c r="G46" s="575"/>
      <c r="I46" s="1067"/>
      <c r="J46" s="454"/>
      <c r="K46" s="455"/>
      <c r="L46" s="1044"/>
      <c r="M46" s="1045"/>
    </row>
    <row r="47" spans="2:13">
      <c r="B47" s="561">
        <v>1</v>
      </c>
      <c r="C47" s="1114" t="str">
        <f>[80]Sheet1!$B$37</f>
        <v>Rumah Kabel</v>
      </c>
      <c r="G47" s="575"/>
      <c r="H47" s="272" t="s">
        <v>1014</v>
      </c>
      <c r="I47" s="1068">
        <v>1</v>
      </c>
      <c r="J47" s="454">
        <f>[80]Sheet1!$D$37</f>
        <v>1500000</v>
      </c>
      <c r="K47" s="455">
        <f>I47*J47</f>
        <v>1500000</v>
      </c>
      <c r="L47" s="929"/>
    </row>
    <row r="48" spans="2:13">
      <c r="B48" s="561">
        <v>2</v>
      </c>
      <c r="C48" s="1114" t="str">
        <f>[80]Sheet1!$B$38</f>
        <v>paku-paku &amp; Klem</v>
      </c>
      <c r="G48" s="575"/>
      <c r="H48" s="272" t="s">
        <v>1015</v>
      </c>
      <c r="I48" s="1067">
        <v>1</v>
      </c>
      <c r="J48" s="454">
        <f>[80]Sheet1!$D$38</f>
        <v>2000000</v>
      </c>
      <c r="K48" s="455">
        <f>I48*J48</f>
        <v>2000000</v>
      </c>
      <c r="L48" s="929"/>
    </row>
    <row r="49" spans="2:13">
      <c r="B49" s="991"/>
      <c r="C49" s="574"/>
      <c r="G49" s="575"/>
      <c r="I49" s="1067"/>
      <c r="J49" s="454"/>
      <c r="K49" s="455"/>
      <c r="L49" s="929"/>
    </row>
    <row r="50" spans="2:13">
      <c r="B50" s="561"/>
      <c r="C50" s="574"/>
      <c r="G50" s="934"/>
      <c r="I50" s="1067"/>
      <c r="J50" s="938" t="s">
        <v>365</v>
      </c>
      <c r="K50" s="578">
        <f>SUM(K47:K48)</f>
        <v>3500000</v>
      </c>
      <c r="L50" s="928"/>
      <c r="M50" s="1047"/>
    </row>
    <row r="51" spans="2:13">
      <c r="B51" s="449" t="s">
        <v>366</v>
      </c>
      <c r="C51" s="568" t="s">
        <v>1010</v>
      </c>
      <c r="D51" s="1029"/>
      <c r="E51" s="1029"/>
      <c r="F51" s="1029"/>
      <c r="G51" s="575"/>
      <c r="I51" s="1067"/>
      <c r="J51" s="454"/>
      <c r="K51" s="455"/>
      <c r="L51" s="1044"/>
    </row>
    <row r="52" spans="2:13">
      <c r="B52" s="561">
        <v>1</v>
      </c>
      <c r="C52" s="434" t="str">
        <f>[80]Sheet1!$B$30</f>
        <v>Kabel Telepon outdoor</v>
      </c>
      <c r="G52" s="575"/>
      <c r="H52" s="272" t="s">
        <v>1006</v>
      </c>
      <c r="I52" s="1067">
        <v>1</v>
      </c>
      <c r="J52" s="454">
        <f>[80]Sheet1!$D$30</f>
        <v>4500000</v>
      </c>
      <c r="K52" s="455">
        <f t="shared" ref="K52:K57" si="4">I52*J52</f>
        <v>4500000</v>
      </c>
      <c r="L52" s="929"/>
    </row>
    <row r="53" spans="2:13">
      <c r="B53" s="561">
        <v>2</v>
      </c>
      <c r="C53" s="1114" t="str">
        <f>[80]Sheet1!$B$31</f>
        <v>Kabel Telepon Indoor</v>
      </c>
      <c r="G53" s="575"/>
      <c r="H53" s="272" t="s">
        <v>1006</v>
      </c>
      <c r="I53" s="1067">
        <v>1</v>
      </c>
      <c r="J53" s="454">
        <f>[80]Sheet1!$D$31</f>
        <v>4000000</v>
      </c>
      <c r="K53" s="455">
        <f t="shared" si="4"/>
        <v>4000000</v>
      </c>
      <c r="L53" s="929"/>
    </row>
    <row r="54" spans="2:13">
      <c r="B54" s="561">
        <v>3</v>
      </c>
      <c r="C54" s="1114" t="str">
        <f>[80]Sheet1!$B$32</f>
        <v>Box Telepon Konektor</v>
      </c>
      <c r="G54" s="575"/>
      <c r="H54" s="272" t="s">
        <v>392</v>
      </c>
      <c r="I54" s="1067">
        <v>1</v>
      </c>
      <c r="J54" s="454">
        <f>[80]Sheet1!$D$32</f>
        <v>6500000</v>
      </c>
      <c r="K54" s="455">
        <f t="shared" si="4"/>
        <v>6500000</v>
      </c>
      <c r="L54" s="929"/>
    </row>
    <row r="55" spans="2:13">
      <c r="B55" s="561">
        <v>4</v>
      </c>
      <c r="C55" s="1114" t="str">
        <f>[80]Sheet1!$B$33</f>
        <v>Kabel Protection ( Ugreen Cable Zipper Protection )</v>
      </c>
      <c r="G55" s="575"/>
      <c r="H55" s="272" t="s">
        <v>813</v>
      </c>
      <c r="I55" s="1067">
        <v>1</v>
      </c>
      <c r="J55" s="454">
        <f>[80]Sheet1!$D$33</f>
        <v>200000</v>
      </c>
      <c r="K55" s="455">
        <f t="shared" si="4"/>
        <v>200000</v>
      </c>
      <c r="L55" s="929"/>
    </row>
    <row r="56" spans="2:13">
      <c r="B56" s="561">
        <v>5</v>
      </c>
      <c r="C56" s="1114" t="str">
        <f>[80]Sheet1!$B$34</f>
        <v>Paku Klem</v>
      </c>
      <c r="G56" s="575"/>
      <c r="H56" s="272" t="s">
        <v>1015</v>
      </c>
      <c r="I56" s="1067">
        <v>1</v>
      </c>
      <c r="J56" s="454">
        <f>[80]Sheet1!$D$34</f>
        <v>500000</v>
      </c>
      <c r="K56" s="455">
        <f t="shared" si="4"/>
        <v>500000</v>
      </c>
      <c r="L56" s="929"/>
    </row>
    <row r="57" spans="2:13">
      <c r="B57" s="561">
        <v>6</v>
      </c>
      <c r="C57" s="1114" t="str">
        <f>[80]Sheet1!$B$35</f>
        <v>Peralatan kerja pabx</v>
      </c>
      <c r="G57" s="575"/>
      <c r="H57" s="272" t="s">
        <v>392</v>
      </c>
      <c r="I57" s="1067">
        <v>1</v>
      </c>
      <c r="J57" s="454">
        <f>[80]Sheet1!$D$35</f>
        <v>2000000</v>
      </c>
      <c r="K57" s="455">
        <f t="shared" si="4"/>
        <v>2000000</v>
      </c>
      <c r="L57" s="929"/>
    </row>
    <row r="58" spans="2:13">
      <c r="B58" s="561"/>
      <c r="C58" s="574"/>
      <c r="G58" s="934"/>
      <c r="I58" s="1067"/>
      <c r="J58" s="938" t="s">
        <v>368</v>
      </c>
      <c r="K58" s="578">
        <f>SUM(K52:K57)</f>
        <v>17700000</v>
      </c>
      <c r="L58" s="928"/>
      <c r="M58" s="1045"/>
    </row>
    <row r="59" spans="2:13">
      <c r="B59" s="449" t="s">
        <v>369</v>
      </c>
      <c r="C59" s="568" t="s">
        <v>62</v>
      </c>
      <c r="D59" s="1029"/>
      <c r="E59" s="1029"/>
      <c r="F59" s="1029"/>
      <c r="G59" s="575"/>
      <c r="I59" s="1067"/>
      <c r="J59" s="454"/>
      <c r="K59" s="455"/>
      <c r="L59" s="1044"/>
    </row>
    <row r="60" spans="2:13">
      <c r="B60" s="576">
        <v>1</v>
      </c>
      <c r="C60" s="574"/>
      <c r="G60" s="575"/>
      <c r="I60" s="1067">
        <v>0</v>
      </c>
      <c r="J60" s="454">
        <v>0</v>
      </c>
      <c r="K60" s="455">
        <f>I60*J60</f>
        <v>0</v>
      </c>
      <c r="L60" s="929"/>
      <c r="M60" s="1048"/>
    </row>
    <row r="61" spans="2:13">
      <c r="B61" s="561">
        <f>B60+1</f>
        <v>2</v>
      </c>
      <c r="C61" s="574"/>
      <c r="G61" s="575"/>
      <c r="I61" s="1067">
        <v>0</v>
      </c>
      <c r="J61" s="454">
        <v>0</v>
      </c>
      <c r="K61" s="455">
        <f>I61*J61</f>
        <v>0</v>
      </c>
      <c r="L61" s="929"/>
    </row>
    <row r="62" spans="2:13">
      <c r="B62" s="561"/>
      <c r="C62" s="574"/>
      <c r="G62" s="575"/>
      <c r="I62" s="1067"/>
      <c r="J62" s="454"/>
      <c r="K62" s="455"/>
      <c r="L62" s="929"/>
    </row>
    <row r="63" spans="2:13">
      <c r="B63" s="561"/>
      <c r="C63" s="574"/>
      <c r="G63" s="934"/>
      <c r="I63" s="1067"/>
      <c r="J63" s="938" t="s">
        <v>371</v>
      </c>
      <c r="K63" s="578">
        <f>SUM(K60:K62)</f>
        <v>0</v>
      </c>
      <c r="L63" s="1044"/>
    </row>
    <row r="64" spans="2:13">
      <c r="B64" s="449" t="s">
        <v>372</v>
      </c>
      <c r="C64" s="568" t="s">
        <v>62</v>
      </c>
      <c r="D64" s="1029"/>
      <c r="E64" s="1029"/>
      <c r="F64" s="1029"/>
      <c r="G64" s="575"/>
      <c r="I64" s="1067"/>
      <c r="J64" s="454"/>
      <c r="K64" s="455"/>
      <c r="L64" s="1044"/>
    </row>
    <row r="65" spans="1:13">
      <c r="B65" s="561">
        <v>1</v>
      </c>
      <c r="C65" s="574"/>
      <c r="G65" s="575"/>
      <c r="I65" s="1067">
        <v>0</v>
      </c>
      <c r="J65" s="454">
        <v>0</v>
      </c>
      <c r="K65" s="455">
        <f>I65*J65</f>
        <v>0</v>
      </c>
      <c r="L65" s="929"/>
    </row>
    <row r="66" spans="1:13">
      <c r="B66" s="561">
        <v>2</v>
      </c>
      <c r="C66" s="574"/>
      <c r="G66" s="575"/>
      <c r="I66" s="1067">
        <v>0</v>
      </c>
      <c r="J66" s="454">
        <v>0</v>
      </c>
      <c r="K66" s="455">
        <f>I66*J66</f>
        <v>0</v>
      </c>
      <c r="L66" s="929"/>
    </row>
    <row r="67" spans="1:13">
      <c r="B67" s="576">
        <v>3</v>
      </c>
      <c r="C67" s="586"/>
      <c r="D67" s="1048"/>
      <c r="E67" s="1048"/>
      <c r="F67" s="1048"/>
      <c r="G67" s="575"/>
      <c r="I67" s="1067">
        <f>I65*0.03</f>
        <v>0</v>
      </c>
      <c r="J67" s="454">
        <v>0</v>
      </c>
      <c r="K67" s="455">
        <f>I67*J67</f>
        <v>0</v>
      </c>
      <c r="L67" s="929"/>
    </row>
    <row r="68" spans="1:13">
      <c r="B68" s="561"/>
      <c r="C68" s="574"/>
      <c r="G68" s="575"/>
      <c r="I68" s="1067"/>
      <c r="J68" s="454"/>
      <c r="K68" s="455"/>
      <c r="L68" s="1044"/>
    </row>
    <row r="69" spans="1:13">
      <c r="B69" s="561">
        <f>B67+1</f>
        <v>4</v>
      </c>
      <c r="C69" s="574"/>
      <c r="G69" s="575"/>
      <c r="I69" s="1067">
        <v>0</v>
      </c>
      <c r="J69" s="454">
        <v>0</v>
      </c>
      <c r="K69" s="455">
        <f>I69*J69</f>
        <v>0</v>
      </c>
      <c r="L69" s="929"/>
    </row>
    <row r="70" spans="1:13">
      <c r="B70" s="561">
        <f>B69+1</f>
        <v>5</v>
      </c>
      <c r="C70" s="574"/>
      <c r="G70" s="575"/>
      <c r="I70" s="1067">
        <v>0</v>
      </c>
      <c r="J70" s="454">
        <v>0</v>
      </c>
      <c r="K70" s="455">
        <f>I70*J70</f>
        <v>0</v>
      </c>
      <c r="L70" s="929"/>
    </row>
    <row r="71" spans="1:13">
      <c r="B71" s="561">
        <f t="shared" ref="B71:B72" si="5">B70+1</f>
        <v>6</v>
      </c>
      <c r="C71" s="574"/>
      <c r="G71" s="575"/>
      <c r="I71" s="1067">
        <v>0</v>
      </c>
      <c r="J71" s="454">
        <v>0</v>
      </c>
      <c r="K71" s="455">
        <f>I71*J71</f>
        <v>0</v>
      </c>
      <c r="L71" s="929"/>
    </row>
    <row r="72" spans="1:13">
      <c r="B72" s="561">
        <f t="shared" si="5"/>
        <v>7</v>
      </c>
      <c r="C72" s="574"/>
      <c r="G72" s="575"/>
      <c r="I72" s="1067">
        <v>0</v>
      </c>
      <c r="J72" s="454">
        <v>0</v>
      </c>
      <c r="K72" s="455">
        <f>I72*J72</f>
        <v>0</v>
      </c>
      <c r="L72" s="929"/>
    </row>
    <row r="73" spans="1:13">
      <c r="B73" s="561"/>
      <c r="C73" s="574"/>
      <c r="G73" s="575"/>
      <c r="I73" s="1067"/>
      <c r="J73" s="454"/>
      <c r="K73" s="455"/>
      <c r="L73" s="929"/>
    </row>
    <row r="74" spans="1:13">
      <c r="B74" s="561"/>
      <c r="C74" s="574"/>
      <c r="G74" s="934"/>
      <c r="I74" s="1067"/>
      <c r="J74" s="938" t="s">
        <v>377</v>
      </c>
      <c r="K74" s="578">
        <f>SUM(K65:K73)</f>
        <v>0</v>
      </c>
      <c r="L74" s="928"/>
      <c r="M74" s="1045"/>
    </row>
    <row r="75" spans="1:13">
      <c r="A75" s="1048"/>
      <c r="B75" s="449" t="s">
        <v>378</v>
      </c>
      <c r="C75" s="568" t="s">
        <v>62</v>
      </c>
      <c r="D75" s="1029"/>
      <c r="E75" s="1029"/>
      <c r="F75" s="1029"/>
      <c r="G75" s="575"/>
      <c r="I75" s="1067"/>
      <c r="J75" s="454"/>
      <c r="K75" s="455"/>
      <c r="L75" s="1044"/>
      <c r="M75" s="1049"/>
    </row>
    <row r="76" spans="1:13">
      <c r="B76" s="561">
        <v>1</v>
      </c>
      <c r="C76" s="574"/>
      <c r="G76" s="575"/>
      <c r="I76" s="1067">
        <v>0</v>
      </c>
      <c r="J76" s="454">
        <v>0</v>
      </c>
      <c r="K76" s="455">
        <f t="shared" ref="K76:K80" si="6">I76*J76</f>
        <v>0</v>
      </c>
      <c r="L76" s="929"/>
      <c r="M76" s="1050"/>
    </row>
    <row r="77" spans="1:13">
      <c r="B77" s="561">
        <v>2</v>
      </c>
      <c r="C77" s="574"/>
      <c r="G77" s="575"/>
      <c r="I77" s="1067">
        <v>0</v>
      </c>
      <c r="J77" s="454">
        <v>0</v>
      </c>
      <c r="K77" s="455">
        <f t="shared" si="6"/>
        <v>0</v>
      </c>
      <c r="L77" s="929"/>
      <c r="M77" s="1050"/>
    </row>
    <row r="78" spans="1:13">
      <c r="B78" s="561">
        <v>3</v>
      </c>
      <c r="C78" s="574"/>
      <c r="G78" s="575"/>
      <c r="I78" s="1067">
        <v>0</v>
      </c>
      <c r="J78" s="454">
        <v>0</v>
      </c>
      <c r="K78" s="455">
        <f t="shared" si="6"/>
        <v>0</v>
      </c>
      <c r="L78" s="929"/>
      <c r="M78" s="1050"/>
    </row>
    <row r="79" spans="1:13">
      <c r="B79" s="561">
        <v>4</v>
      </c>
      <c r="C79" s="574"/>
      <c r="G79" s="575"/>
      <c r="I79" s="1057">
        <v>0</v>
      </c>
      <c r="J79" s="454">
        <v>0</v>
      </c>
      <c r="K79" s="455">
        <f t="shared" si="6"/>
        <v>0</v>
      </c>
      <c r="L79" s="929"/>
      <c r="M79" s="1050"/>
    </row>
    <row r="80" spans="1:13">
      <c r="B80" s="561">
        <v>5</v>
      </c>
      <c r="C80" s="574"/>
      <c r="G80" s="575"/>
      <c r="I80" s="1067">
        <v>0</v>
      </c>
      <c r="J80" s="454">
        <v>0</v>
      </c>
      <c r="K80" s="455">
        <f t="shared" si="6"/>
        <v>0</v>
      </c>
      <c r="L80" s="929"/>
      <c r="M80" s="1050"/>
    </row>
    <row r="81" spans="1:15">
      <c r="B81" s="561"/>
      <c r="C81" s="574"/>
      <c r="G81" s="575"/>
      <c r="I81" s="1067"/>
      <c r="J81" s="454"/>
      <c r="K81" s="455"/>
      <c r="L81" s="929"/>
      <c r="M81" s="1050"/>
    </row>
    <row r="82" spans="1:15">
      <c r="B82" s="561"/>
      <c r="C82" s="574"/>
      <c r="G82" s="934"/>
      <c r="I82" s="1067"/>
      <c r="J82" s="938" t="s">
        <v>383</v>
      </c>
      <c r="K82" s="578">
        <f>SUM(K76:K80)</f>
        <v>0</v>
      </c>
      <c r="L82" s="928"/>
      <c r="M82" s="1051"/>
    </row>
    <row r="83" spans="1:15">
      <c r="B83" s="449" t="s">
        <v>384</v>
      </c>
      <c r="C83" s="568" t="s">
        <v>62</v>
      </c>
      <c r="D83" s="1029"/>
      <c r="E83" s="1029"/>
      <c r="F83" s="1029"/>
      <c r="G83" s="575"/>
      <c r="I83" s="1067"/>
      <c r="J83" s="454"/>
      <c r="K83" s="455"/>
      <c r="L83" s="1044"/>
    </row>
    <row r="84" spans="1:15">
      <c r="B84" s="561">
        <v>1</v>
      </c>
      <c r="C84" s="574"/>
      <c r="G84" s="575"/>
      <c r="I84" s="1067">
        <v>0</v>
      </c>
      <c r="J84" s="454">
        <v>0</v>
      </c>
      <c r="K84" s="455">
        <f>I84*J84</f>
        <v>0</v>
      </c>
      <c r="L84" s="929"/>
    </row>
    <row r="85" spans="1:15">
      <c r="B85" s="561">
        <v>2</v>
      </c>
      <c r="C85" s="574"/>
      <c r="G85" s="575"/>
      <c r="I85" s="1067">
        <f>I60+I61</f>
        <v>0</v>
      </c>
      <c r="J85" s="454">
        <v>0</v>
      </c>
      <c r="K85" s="455">
        <f>I85*J85</f>
        <v>0</v>
      </c>
      <c r="L85" s="929"/>
    </row>
    <row r="86" spans="1:15">
      <c r="B86" s="561"/>
      <c r="C86" s="574"/>
      <c r="G86" s="575"/>
      <c r="I86" s="1067"/>
      <c r="J86" s="454"/>
      <c r="K86" s="455"/>
      <c r="L86" s="929"/>
    </row>
    <row r="87" spans="1:15">
      <c r="B87" s="561"/>
      <c r="C87" s="574"/>
      <c r="G87" s="934"/>
      <c r="I87" s="1067"/>
      <c r="J87" s="938" t="s">
        <v>388</v>
      </c>
      <c r="K87" s="578">
        <f>SUM(K84:K86)</f>
        <v>0</v>
      </c>
      <c r="L87" s="928"/>
      <c r="M87" s="1047"/>
      <c r="N87" s="1045"/>
      <c r="O87" s="1045"/>
    </row>
    <row r="88" spans="1:15">
      <c r="A88" s="1048"/>
      <c r="B88" s="449" t="s">
        <v>389</v>
      </c>
      <c r="C88" s="568" t="s">
        <v>62</v>
      </c>
      <c r="D88" s="1029"/>
      <c r="E88" s="1029"/>
      <c r="F88" s="1029"/>
      <c r="G88" s="575"/>
      <c r="I88" s="1067"/>
      <c r="J88" s="1058"/>
      <c r="K88" s="1059"/>
      <c r="L88" s="1044"/>
    </row>
    <row r="89" spans="1:15">
      <c r="B89" s="561"/>
      <c r="C89" s="434" t="s">
        <v>996</v>
      </c>
      <c r="G89" s="575"/>
      <c r="I89" s="1057"/>
      <c r="J89" s="1055"/>
      <c r="K89" s="1059"/>
      <c r="L89" s="929"/>
    </row>
    <row r="90" spans="1:15">
      <c r="B90" s="561"/>
      <c r="C90" s="574"/>
      <c r="G90" s="575"/>
      <c r="I90" s="1057"/>
      <c r="J90" s="1055"/>
      <c r="K90" s="1059"/>
      <c r="L90" s="929"/>
    </row>
    <row r="91" spans="1:15">
      <c r="B91" s="561"/>
      <c r="C91" s="574"/>
      <c r="G91" s="575"/>
      <c r="I91" s="1057"/>
      <c r="J91" s="1055"/>
      <c r="K91" s="1059"/>
      <c r="L91" s="929"/>
    </row>
    <row r="92" spans="1:15">
      <c r="B92" s="576"/>
      <c r="C92" s="574"/>
      <c r="G92" s="575"/>
      <c r="I92" s="1057"/>
      <c r="J92" s="1055"/>
      <c r="K92" s="1059"/>
      <c r="L92" s="929"/>
    </row>
    <row r="93" spans="1:15">
      <c r="B93" s="561"/>
      <c r="C93" s="574"/>
      <c r="G93" s="575"/>
      <c r="I93" s="1067"/>
      <c r="J93" s="454"/>
      <c r="K93" s="455"/>
      <c r="L93" s="929"/>
    </row>
    <row r="94" spans="1:15">
      <c r="B94" s="561"/>
      <c r="C94" s="574"/>
      <c r="G94" s="575"/>
      <c r="I94" s="1067"/>
      <c r="J94" s="938" t="s">
        <v>394</v>
      </c>
      <c r="K94" s="578">
        <f>SUM(K89:K93)</f>
        <v>0</v>
      </c>
      <c r="L94" s="929"/>
    </row>
    <row r="95" spans="1:15">
      <c r="B95" s="449" t="s">
        <v>395</v>
      </c>
      <c r="C95" s="568" t="s">
        <v>62</v>
      </c>
      <c r="G95" s="575"/>
      <c r="I95" s="1067"/>
      <c r="J95" s="454"/>
      <c r="K95" s="455"/>
      <c r="L95" s="929"/>
    </row>
    <row r="96" spans="1:15">
      <c r="B96" s="561"/>
      <c r="C96" s="434" t="s">
        <v>982</v>
      </c>
      <c r="G96" s="575"/>
      <c r="I96" s="1056"/>
      <c r="J96" s="1060"/>
      <c r="K96" s="1059"/>
      <c r="L96" s="1044"/>
    </row>
    <row r="97" spans="2:13">
      <c r="B97" s="561"/>
      <c r="C97" s="574"/>
      <c r="G97" s="934"/>
      <c r="I97" s="1056"/>
      <c r="J97" s="1060"/>
      <c r="K97" s="1059"/>
      <c r="L97" s="928"/>
      <c r="M97" s="1045"/>
    </row>
    <row r="98" spans="2:13">
      <c r="B98" s="561"/>
      <c r="C98" s="574"/>
      <c r="D98" s="1029"/>
      <c r="E98" s="1029"/>
      <c r="F98" s="1029"/>
      <c r="G98" s="575"/>
      <c r="I98" s="1056"/>
      <c r="J98" s="1060"/>
      <c r="K98" s="1059"/>
      <c r="L98" s="1044"/>
    </row>
    <row r="99" spans="2:13">
      <c r="B99" s="561"/>
      <c r="C99" s="574"/>
      <c r="G99" s="575"/>
      <c r="I99" s="1056"/>
      <c r="J99" s="1060"/>
      <c r="K99" s="1059"/>
      <c r="L99" s="929"/>
    </row>
    <row r="100" spans="2:13">
      <c r="B100" s="561"/>
      <c r="C100" s="574"/>
      <c r="G100" s="575"/>
      <c r="I100" s="1056"/>
      <c r="J100" s="1060"/>
      <c r="K100" s="1059"/>
      <c r="L100" s="929"/>
    </row>
    <row r="101" spans="2:13">
      <c r="B101" s="561"/>
      <c r="C101" s="574"/>
      <c r="G101" s="575"/>
      <c r="I101" s="1056"/>
      <c r="J101" s="1060"/>
      <c r="K101" s="1059"/>
      <c r="L101" s="929"/>
    </row>
    <row r="102" spans="2:13">
      <c r="B102" s="561"/>
      <c r="C102" s="574"/>
      <c r="G102" s="575"/>
      <c r="I102" s="1067"/>
      <c r="J102" s="454"/>
      <c r="K102" s="455"/>
      <c r="L102" s="1044"/>
    </row>
    <row r="103" spans="2:13">
      <c r="B103" s="561"/>
      <c r="C103" s="574" t="s">
        <v>652</v>
      </c>
      <c r="G103" s="934"/>
      <c r="H103" s="571"/>
      <c r="I103" s="1069"/>
      <c r="J103" s="938" t="s">
        <v>500</v>
      </c>
      <c r="K103" s="578">
        <f>SUM(K96:K102)</f>
        <v>0</v>
      </c>
      <c r="L103" s="928"/>
      <c r="M103" s="1045"/>
    </row>
    <row r="104" spans="2:13">
      <c r="B104" s="449" t="s">
        <v>404</v>
      </c>
      <c r="C104" s="568" t="s">
        <v>62</v>
      </c>
      <c r="D104" s="1029"/>
      <c r="E104" s="1029"/>
      <c r="F104" s="1029"/>
      <c r="G104" s="575"/>
      <c r="I104" s="1067"/>
      <c r="J104" s="454"/>
      <c r="K104" s="455"/>
      <c r="L104" s="1044"/>
    </row>
    <row r="105" spans="2:13">
      <c r="B105" s="561">
        <v>1</v>
      </c>
      <c r="C105" s="574"/>
      <c r="G105" s="575"/>
      <c r="I105" s="1067">
        <v>0</v>
      </c>
      <c r="J105" s="1055">
        <v>0</v>
      </c>
      <c r="K105" s="1059">
        <f>I105*J105</f>
        <v>0</v>
      </c>
      <c r="L105" s="929"/>
    </row>
    <row r="106" spans="2:13">
      <c r="B106" s="561">
        <f>B105+1</f>
        <v>2</v>
      </c>
      <c r="C106" s="574"/>
      <c r="G106" s="575"/>
      <c r="I106" s="1067">
        <v>0</v>
      </c>
      <c r="J106" s="1116" t="s">
        <v>1016</v>
      </c>
      <c r="K106" s="1059">
        <v>0</v>
      </c>
      <c r="L106" s="929"/>
    </row>
    <row r="107" spans="2:13">
      <c r="B107" s="561">
        <f>B106+1</f>
        <v>3</v>
      </c>
      <c r="C107" s="574"/>
      <c r="G107" s="575"/>
      <c r="I107" s="1067">
        <v>0</v>
      </c>
      <c r="J107" s="1055">
        <v>0</v>
      </c>
      <c r="K107" s="1059">
        <f t="shared" ref="K107:K108" si="7">I107*J107</f>
        <v>0</v>
      </c>
      <c r="L107" s="929"/>
    </row>
    <row r="108" spans="2:13">
      <c r="B108" s="561">
        <f>B107+1</f>
        <v>4</v>
      </c>
      <c r="C108" s="574"/>
      <c r="G108" s="575"/>
      <c r="I108" s="1067">
        <v>0</v>
      </c>
      <c r="J108" s="1055">
        <v>0</v>
      </c>
      <c r="K108" s="1059">
        <f t="shared" si="7"/>
        <v>0</v>
      </c>
      <c r="L108" s="929"/>
    </row>
    <row r="109" spans="2:13">
      <c r="B109" s="561"/>
      <c r="C109" s="574"/>
      <c r="G109" s="575"/>
      <c r="I109" s="1067"/>
      <c r="J109" s="454"/>
      <c r="K109" s="455"/>
      <c r="L109" s="929"/>
    </row>
    <row r="110" spans="2:13">
      <c r="B110" s="561"/>
      <c r="C110" s="574"/>
      <c r="G110" s="575"/>
      <c r="I110" s="1067"/>
      <c r="J110" s="938" t="s">
        <v>501</v>
      </c>
      <c r="K110" s="578">
        <f>SUM(K105:K108)</f>
        <v>0</v>
      </c>
      <c r="L110" s="929"/>
    </row>
    <row r="111" spans="2:13" ht="16.5" thickBot="1">
      <c r="B111" s="591"/>
      <c r="C111" s="592"/>
      <c r="D111" s="593"/>
      <c r="E111" s="593"/>
      <c r="F111" s="593"/>
      <c r="G111" s="937"/>
      <c r="H111" s="595"/>
      <c r="I111" s="1070"/>
      <c r="J111" s="935"/>
      <c r="K111" s="598"/>
      <c r="L111" s="928"/>
      <c r="M111" s="1045"/>
    </row>
    <row r="112" spans="2:13">
      <c r="B112" s="561"/>
      <c r="G112" s="997"/>
      <c r="I112" s="1071"/>
      <c r="J112" s="990"/>
      <c r="K112" s="578"/>
      <c r="L112" s="928"/>
      <c r="M112" s="1045"/>
    </row>
    <row r="113" spans="2:13">
      <c r="B113" s="561"/>
      <c r="G113" s="996"/>
      <c r="I113" s="1071"/>
      <c r="J113" s="1023" t="s">
        <v>410</v>
      </c>
      <c r="K113" s="599">
        <f>SUM(K13:K111)/2</f>
        <v>89100000</v>
      </c>
      <c r="L113" s="927"/>
      <c r="M113" s="1045"/>
    </row>
    <row r="114" spans="2:13" ht="16.5" thickBot="1">
      <c r="B114" s="600"/>
      <c r="C114" s="602"/>
      <c r="D114" s="602"/>
      <c r="E114" s="602"/>
      <c r="F114" s="602"/>
      <c r="G114" s="602"/>
      <c r="H114" s="604"/>
      <c r="I114" s="1072"/>
      <c r="J114" s="988"/>
      <c r="K114" s="607"/>
      <c r="L114" s="1044"/>
    </row>
    <row r="115" spans="2:13" ht="16.5" thickTop="1">
      <c r="I115" s="1073"/>
      <c r="J115" s="925"/>
      <c r="K115" s="610"/>
      <c r="L115" s="1044"/>
    </row>
    <row r="116" spans="2:13">
      <c r="I116" s="1073"/>
      <c r="J116" s="925"/>
      <c r="K116" s="611"/>
      <c r="L116" s="1044"/>
    </row>
    <row r="117" spans="2:13">
      <c r="I117" s="1073"/>
      <c r="J117" s="925"/>
      <c r="K117" s="610"/>
      <c r="L117" s="1044"/>
    </row>
    <row r="118" spans="2:13">
      <c r="I118" s="1073"/>
      <c r="J118" s="925"/>
      <c r="K118" s="611"/>
      <c r="L118" s="1044"/>
    </row>
    <row r="119" spans="2:13">
      <c r="I119" s="1073"/>
      <c r="J119" s="925"/>
      <c r="K119" s="611"/>
      <c r="L119" s="1044"/>
    </row>
    <row r="120" spans="2:13">
      <c r="I120" s="1073"/>
      <c r="J120" s="925"/>
      <c r="K120" s="611"/>
      <c r="L120" s="1044"/>
    </row>
    <row r="121" spans="2:13">
      <c r="I121" s="1073"/>
      <c r="J121" s="925"/>
      <c r="K121" s="611"/>
      <c r="L121" s="1044"/>
    </row>
    <row r="122" spans="2:13">
      <c r="I122" s="1073"/>
      <c r="J122" s="925"/>
      <c r="K122" s="611"/>
      <c r="L122" s="1044"/>
    </row>
    <row r="123" spans="2:13">
      <c r="I123" s="1073"/>
      <c r="J123" s="925"/>
      <c r="K123" s="611"/>
      <c r="L123" s="1044"/>
    </row>
    <row r="124" spans="2:13">
      <c r="I124" s="1073"/>
      <c r="J124" s="925"/>
      <c r="K124" s="611"/>
      <c r="L124" s="1044"/>
    </row>
    <row r="125" spans="2:13">
      <c r="I125" s="1073"/>
      <c r="J125" s="925"/>
      <c r="K125" s="611"/>
      <c r="L125" s="1044"/>
    </row>
    <row r="126" spans="2:13">
      <c r="I126" s="1073"/>
      <c r="J126" s="925"/>
      <c r="K126" s="611"/>
      <c r="L126" s="1044"/>
    </row>
    <row r="128" spans="2:13">
      <c r="H128" s="997"/>
      <c r="K128" s="613"/>
    </row>
    <row r="129" spans="8:11">
      <c r="H129" s="997"/>
      <c r="K129" s="1045"/>
    </row>
    <row r="130" spans="8:11">
      <c r="K130" s="614"/>
    </row>
    <row r="131" spans="8:11">
      <c r="H131" s="997"/>
    </row>
    <row r="136" spans="8:11">
      <c r="H136" s="1052"/>
    </row>
  </sheetData>
  <mergeCells count="2">
    <mergeCell ref="I8:K8"/>
    <mergeCell ref="L6:L7"/>
  </mergeCells>
  <pageMargins left="0.7" right="0.7" top="0.75" bottom="0.75" header="0.3" footer="0.3"/>
  <pageSetup orientation="portrait" horizontalDpi="0" verticalDpi="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3BAB49-EAF6-47FC-A541-94E3303B322C}">
  <sheetPr>
    <tabColor rgb="FFFFFF00"/>
    <pageSetUpPr fitToPage="1"/>
  </sheetPr>
  <dimension ref="A2:L34"/>
  <sheetViews>
    <sheetView topLeftCell="A3" workbookViewId="0">
      <selection activeCell="C28" sqref="C28"/>
    </sheetView>
  </sheetViews>
  <sheetFormatPr defaultColWidth="9.140625" defaultRowHeight="15.75"/>
  <cols>
    <col min="1" max="1" width="2.42578125" style="39" customWidth="1"/>
    <col min="2" max="2" width="6" style="39" customWidth="1"/>
    <col min="3" max="7" width="10.7109375" style="39" customWidth="1"/>
    <col min="8" max="8" width="19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971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993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Masjid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tr">
        <f>'BQMasjid (2)'!C13</f>
        <v>PEKERJAAN PERSIAPAN &amp; PENYELESAIAN</v>
      </c>
      <c r="D14" s="58"/>
      <c r="E14" s="58"/>
      <c r="F14" s="58"/>
      <c r="G14" s="58"/>
      <c r="H14" s="483">
        <f>'BQMasjid (2)'!K20</f>
        <v>5000000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tr">
        <f>'BQMasjid (2)'!C21</f>
        <v>PEKERJAAN LAN</v>
      </c>
      <c r="D15" s="58"/>
      <c r="E15" s="58"/>
      <c r="F15" s="58"/>
      <c r="G15" s="58"/>
      <c r="H15" s="483">
        <f>'BQMasjid (2)'!K30</f>
        <v>15500000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tr">
        <f>'BQMasjid (2)'!C31</f>
        <v>PEKERJAAN CCTV</v>
      </c>
      <c r="D16" s="58"/>
      <c r="E16" s="58"/>
      <c r="F16" s="58"/>
      <c r="G16" s="58"/>
      <c r="H16" s="483">
        <f>'BQMasjid (2)'!K50</f>
        <v>20400000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tr">
        <f>'BQMasjid (2)'!C51</f>
        <v>PEKERJAAN WIFI</v>
      </c>
      <c r="D17" s="58"/>
      <c r="E17" s="58"/>
      <c r="F17" s="58"/>
      <c r="G17" s="58"/>
      <c r="H17" s="483">
        <f>'BQMasjid (2)'!K58</f>
        <v>27000000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tr">
        <f>'BQMasjid (2)'!C59</f>
        <v>MATERIAL TAMBAHAN</v>
      </c>
      <c r="D18" s="58"/>
      <c r="E18" s="58"/>
      <c r="F18" s="58"/>
      <c r="G18" s="58"/>
      <c r="H18" s="483">
        <f>'BQMasjid (2)'!K65</f>
        <v>3500000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tr">
        <f>'BQMasjid (2)'!C66</f>
        <v>PEKERJAAN PABX</v>
      </c>
      <c r="D19" s="58"/>
      <c r="E19" s="58"/>
      <c r="F19" s="58"/>
      <c r="G19" s="58"/>
      <c r="H19" s="483">
        <f>'BQMasjid (2)'!K75</f>
        <v>17700000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tr">
        <f>'BQMasjid (2)'!C76</f>
        <v>-</v>
      </c>
      <c r="D20" s="58"/>
      <c r="E20" s="58"/>
      <c r="F20" s="58"/>
      <c r="G20" s="58"/>
      <c r="H20" s="483">
        <f>'BQMasjid (2)'!K79</f>
        <v>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tr">
        <f>'BQMasjid (2)'!C80</f>
        <v>-</v>
      </c>
      <c r="D21" s="58"/>
      <c r="E21" s="58"/>
      <c r="F21" s="58"/>
      <c r="G21" s="58"/>
      <c r="H21" s="483">
        <f>'BQMasjid (2)'!K89</f>
        <v>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tr">
        <f>'BQMasjid (2)'!C90</f>
        <v>-</v>
      </c>
      <c r="D22" s="58"/>
      <c r="E22" s="58"/>
      <c r="F22" s="58"/>
      <c r="G22" s="58"/>
      <c r="H22" s="483">
        <f>'BQMasjid (2)'!K99</f>
        <v>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tr">
        <f>'BQMasjid (2)'!C100</f>
        <v>-</v>
      </c>
      <c r="D23" s="58"/>
      <c r="E23" s="58"/>
      <c r="F23" s="58"/>
      <c r="G23" s="58"/>
      <c r="H23" s="483">
        <f>'BQMasjid (2)'!K106</f>
        <v>0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tr">
        <f>'BQMasjid (2)'!C107</f>
        <v>-</v>
      </c>
      <c r="D24" s="58"/>
      <c r="E24" s="58"/>
      <c r="F24" s="58"/>
      <c r="G24" s="58"/>
      <c r="H24" s="483">
        <f>'BQMasjid (2)'!K111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tr">
        <f>'BQMasjid (2)'!C112</f>
        <v>-</v>
      </c>
      <c r="D25" s="58"/>
      <c r="E25" s="58"/>
      <c r="F25" s="58"/>
      <c r="G25" s="58"/>
      <c r="H25" s="483">
        <f>'BQMasjid (2)'!K118</f>
        <v>0</v>
      </c>
      <c r="I25" s="39"/>
      <c r="J25" s="39"/>
      <c r="K25" s="39"/>
      <c r="L25" s="39"/>
    </row>
    <row r="26" spans="1:12" s="60" customFormat="1">
      <c r="A26" s="39"/>
      <c r="B26" s="55" t="s">
        <v>37</v>
      </c>
      <c r="C26" s="56" t="str">
        <f>'BQMasjid (2)'!C119</f>
        <v>-</v>
      </c>
      <c r="D26" s="58"/>
      <c r="E26" s="58"/>
      <c r="F26" s="58"/>
      <c r="G26" s="58"/>
      <c r="H26" s="483">
        <f>'BQMasjid (2)'!K127</f>
        <v>0</v>
      </c>
      <c r="I26" s="39"/>
      <c r="J26" s="39"/>
      <c r="K26" s="39"/>
      <c r="L26" s="39"/>
    </row>
    <row r="27" spans="1:12" s="60" customFormat="1">
      <c r="A27" s="39"/>
      <c r="B27" s="55" t="s">
        <v>990</v>
      </c>
      <c r="C27" s="56" t="str">
        <f>'BQMasjid (2)'!C128</f>
        <v>-</v>
      </c>
      <c r="G27" s="58"/>
      <c r="H27" s="483">
        <f>'BQMasjid (2)'!K135</f>
        <v>0</v>
      </c>
      <c r="I27" s="39"/>
      <c r="J27" s="39"/>
      <c r="K27" s="39"/>
      <c r="L27" s="39"/>
    </row>
    <row r="28" spans="1:12" ht="16.5" thickBot="1">
      <c r="B28" s="69"/>
      <c r="C28" s="70"/>
      <c r="D28" s="70"/>
      <c r="E28" s="70"/>
      <c r="F28" s="70"/>
      <c r="G28" s="70"/>
      <c r="H28" s="484"/>
    </row>
    <row r="29" spans="1:12" ht="17.25" thickTop="1" thickBot="1">
      <c r="B29" s="72"/>
      <c r="C29" s="73"/>
      <c r="D29" s="73"/>
      <c r="E29" s="73"/>
      <c r="F29" s="74" t="s">
        <v>41</v>
      </c>
      <c r="G29" s="74"/>
      <c r="H29" s="75">
        <f>SUM(H14:H28)</f>
        <v>89100000</v>
      </c>
    </row>
    <row r="30" spans="1:12" ht="16.5" thickTop="1">
      <c r="B30" s="76"/>
      <c r="C30" s="77"/>
      <c r="D30" s="77"/>
      <c r="E30" s="77"/>
      <c r="F30" s="77"/>
      <c r="G30" s="77"/>
      <c r="H30" s="78"/>
    </row>
    <row r="31" spans="1:12">
      <c r="B31" s="79"/>
      <c r="C31" s="56"/>
      <c r="D31" s="56"/>
      <c r="E31" s="56"/>
      <c r="F31" s="58"/>
      <c r="G31" s="58"/>
      <c r="H31" s="835"/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F0CD1E-D9B9-4660-AB2A-8D9E0F3B3BFD}">
  <dimension ref="B1:Q163"/>
  <sheetViews>
    <sheetView topLeftCell="A79" workbookViewId="0">
      <selection activeCell="C15" sqref="C15"/>
    </sheetView>
  </sheetViews>
  <sheetFormatPr defaultColWidth="9.140625" defaultRowHeight="15.75"/>
  <cols>
    <col min="1" max="1" width="9.140625" style="415"/>
    <col min="2" max="2" width="6.42578125" style="415" customWidth="1"/>
    <col min="3" max="7" width="10.7109375" style="415" customWidth="1"/>
    <col min="8" max="8" width="7.42578125" style="272" bestFit="1" customWidth="1"/>
    <col min="9" max="9" width="11.5703125" style="1099" customWidth="1"/>
    <col min="10" max="10" width="12.85546875" style="416" customWidth="1"/>
    <col min="11" max="11" width="19.5703125" style="415" customWidth="1"/>
    <col min="12" max="12" width="9.28515625" style="415" customWidth="1"/>
    <col min="13" max="15" width="9.140625" style="415"/>
    <col min="16" max="16" width="14.140625" style="415" customWidth="1"/>
    <col min="17" max="17" width="11" style="415" bestFit="1" customWidth="1"/>
    <col min="18" max="16384" width="9.140625" style="415"/>
  </cols>
  <sheetData>
    <row r="1" spans="2:12">
      <c r="B1" s="40"/>
      <c r="C1" s="558"/>
      <c r="D1" s="558"/>
      <c r="E1" s="558"/>
      <c r="F1" s="558"/>
      <c r="G1" s="558"/>
      <c r="H1" s="559"/>
      <c r="I1" s="1082"/>
      <c r="J1" s="560"/>
      <c r="K1" s="558"/>
    </row>
    <row r="2" spans="2:12">
      <c r="B2" s="40"/>
      <c r="C2" s="558"/>
      <c r="D2" s="558"/>
      <c r="E2" s="558"/>
      <c r="F2" s="558"/>
      <c r="G2" s="558"/>
      <c r="H2" s="559"/>
      <c r="I2" s="1082"/>
      <c r="J2" s="923"/>
      <c r="K2" s="558"/>
    </row>
    <row r="3" spans="2:12">
      <c r="B3" s="42" t="s">
        <v>0</v>
      </c>
      <c r="C3" s="40"/>
      <c r="D3" s="40"/>
      <c r="E3" s="40"/>
      <c r="F3" s="40"/>
      <c r="G3" s="40"/>
      <c r="H3" s="612"/>
      <c r="I3" s="1083"/>
      <c r="J3" s="1023"/>
      <c r="K3" s="1024"/>
    </row>
    <row r="4" spans="2:12">
      <c r="B4" s="1084" t="s">
        <v>971</v>
      </c>
      <c r="C4" s="40"/>
      <c r="D4" s="40"/>
      <c r="E4" s="40"/>
      <c r="F4" s="40"/>
      <c r="G4" s="40"/>
      <c r="H4" s="612"/>
      <c r="I4" s="1083"/>
      <c r="J4" s="1023"/>
      <c r="K4" s="1024"/>
    </row>
    <row r="5" spans="2:12">
      <c r="B5" s="45" t="s">
        <v>1</v>
      </c>
      <c r="C5" s="40"/>
      <c r="D5" s="40"/>
      <c r="E5" s="40"/>
      <c r="F5" s="40"/>
      <c r="G5" s="40"/>
      <c r="H5" s="559"/>
      <c r="I5" s="1082"/>
      <c r="J5" s="1023"/>
      <c r="K5" s="1024"/>
    </row>
    <row r="6" spans="2:12">
      <c r="B6" s="42" t="s">
        <v>2</v>
      </c>
      <c r="C6" s="40"/>
      <c r="D6" s="40"/>
      <c r="E6" s="40"/>
      <c r="F6" s="40"/>
      <c r="G6" s="40"/>
      <c r="H6" s="612"/>
      <c r="I6" s="1083"/>
      <c r="J6" s="1023"/>
      <c r="K6" s="1024"/>
    </row>
    <row r="7" spans="2:12">
      <c r="B7" s="45" t="s">
        <v>3</v>
      </c>
      <c r="C7" s="40"/>
      <c r="D7" s="40"/>
      <c r="E7" s="40"/>
      <c r="F7" s="40"/>
      <c r="G7" s="40"/>
      <c r="H7" s="612"/>
      <c r="I7" s="1083"/>
      <c r="J7" s="1023"/>
      <c r="K7" s="1024"/>
    </row>
    <row r="8" spans="2:12" ht="16.5" thickBot="1">
      <c r="B8" s="39"/>
      <c r="C8" s="39"/>
      <c r="D8" s="39"/>
      <c r="E8" s="39"/>
      <c r="F8" s="39"/>
      <c r="G8" s="39"/>
      <c r="H8" s="39"/>
      <c r="I8" s="1143" t="s">
        <v>992</v>
      </c>
      <c r="J8" s="1143"/>
      <c r="K8" s="1143"/>
    </row>
    <row r="9" spans="2:12" ht="16.5" thickTop="1">
      <c r="B9" s="1085"/>
      <c r="C9" s="1086"/>
      <c r="D9" s="47"/>
      <c r="E9" s="47"/>
      <c r="F9" s="47"/>
      <c r="G9" s="47"/>
      <c r="H9" s="836"/>
      <c r="I9" s="1087"/>
      <c r="J9" s="1032" t="s">
        <v>4</v>
      </c>
      <c r="K9" s="1088" t="s">
        <v>5</v>
      </c>
      <c r="L9" s="1141"/>
    </row>
    <row r="10" spans="2:12">
      <c r="B10" s="1089" t="s">
        <v>6</v>
      </c>
      <c r="C10" s="1090" t="s">
        <v>7</v>
      </c>
      <c r="D10" s="50"/>
      <c r="E10" s="50"/>
      <c r="F10" s="50"/>
      <c r="G10" s="50"/>
      <c r="H10" s="837" t="s">
        <v>8</v>
      </c>
      <c r="I10" s="1091" t="s">
        <v>9</v>
      </c>
      <c r="J10" s="1036" t="s">
        <v>8</v>
      </c>
      <c r="K10" s="1092" t="s">
        <v>4</v>
      </c>
      <c r="L10" s="1142"/>
    </row>
    <row r="11" spans="2:12" ht="16.5" thickBot="1">
      <c r="B11" s="1093"/>
      <c r="C11" s="1094"/>
      <c r="D11" s="53"/>
      <c r="E11" s="53"/>
      <c r="F11" s="53"/>
      <c r="G11" s="53"/>
      <c r="H11" s="838"/>
      <c r="I11" s="1095"/>
      <c r="J11" s="1039" t="s">
        <v>10</v>
      </c>
      <c r="K11" s="1096" t="s">
        <v>10</v>
      </c>
      <c r="L11" s="866"/>
    </row>
    <row r="12" spans="2:12" ht="16.5" thickTop="1">
      <c r="B12" s="421"/>
      <c r="C12" s="951"/>
      <c r="D12" s="272"/>
      <c r="E12" s="272"/>
      <c r="F12" s="272"/>
      <c r="G12" s="272"/>
      <c r="H12" s="425"/>
      <c r="I12" s="1097"/>
      <c r="J12" s="432"/>
      <c r="K12" s="427"/>
      <c r="L12" s="866"/>
    </row>
    <row r="13" spans="2:12">
      <c r="B13" s="428" t="s">
        <v>339</v>
      </c>
      <c r="C13" s="429" t="s">
        <v>340</v>
      </c>
      <c r="D13" s="377"/>
      <c r="E13" s="377"/>
      <c r="F13" s="377"/>
      <c r="G13" s="377"/>
      <c r="H13" s="431"/>
      <c r="I13" s="1097"/>
      <c r="J13" s="432"/>
      <c r="K13" s="433"/>
      <c r="L13" s="867"/>
    </row>
    <row r="14" spans="2:12">
      <c r="B14" s="421">
        <v>1</v>
      </c>
      <c r="C14" s="434" t="str">
        <f>[80]Sheet1!$B$3</f>
        <v xml:space="preserve">Pembersihan awal dan Selama Proyek Berjalan </v>
      </c>
      <c r="H14" s="272" t="s">
        <v>357</v>
      </c>
      <c r="I14" s="1098">
        <v>1</v>
      </c>
      <c r="J14" s="432">
        <f>[80]Sheet1!$D$3</f>
        <v>1000000</v>
      </c>
      <c r="K14" s="437">
        <f>I14*J14</f>
        <v>1000000</v>
      </c>
      <c r="L14" s="842"/>
    </row>
    <row r="15" spans="2:12">
      <c r="B15" s="421">
        <f>B14+1</f>
        <v>2</v>
      </c>
      <c r="C15" s="434" t="str">
        <f>[80]Sheet1!$B$4</f>
        <v>Pembersihan akhir sampah dll</v>
      </c>
      <c r="H15" s="272" t="s">
        <v>357</v>
      </c>
      <c r="I15" s="1098">
        <v>1</v>
      </c>
      <c r="J15" s="432">
        <f>[80]Sheet1!$D$4</f>
        <v>1000000</v>
      </c>
      <c r="K15" s="437">
        <f>I15*J15</f>
        <v>1000000</v>
      </c>
      <c r="L15" s="842"/>
    </row>
    <row r="16" spans="2:12">
      <c r="B16" s="421">
        <f>B15+1</f>
        <v>3</v>
      </c>
      <c r="C16" s="1113" t="str">
        <f>[80]Sheet1!$B$5</f>
        <v>Survey</v>
      </c>
      <c r="H16" s="272" t="s">
        <v>357</v>
      </c>
      <c r="I16" s="1098">
        <v>1</v>
      </c>
      <c r="J16" s="432">
        <f>[80]Sheet1!$D$5</f>
        <v>2000000</v>
      </c>
      <c r="K16" s="437">
        <f>I16*J16</f>
        <v>2000000</v>
      </c>
      <c r="L16" s="842"/>
    </row>
    <row r="17" spans="2:12">
      <c r="B17" s="421">
        <f>B16+1</f>
        <v>4</v>
      </c>
      <c r="C17" s="1113" t="str">
        <f>[80]Sheet1!$B$6</f>
        <v>Pembuatan gambar teknis</v>
      </c>
      <c r="H17" s="272" t="s">
        <v>357</v>
      </c>
      <c r="I17" s="1098">
        <v>1</v>
      </c>
      <c r="J17" s="432">
        <f>[80]Sheet1!$D$6</f>
        <v>1000000</v>
      </c>
      <c r="K17" s="437">
        <f>I17*J17</f>
        <v>1000000</v>
      </c>
      <c r="L17" s="842"/>
    </row>
    <row r="18" spans="2:12">
      <c r="B18" s="421">
        <f>B17+1</f>
        <v>5</v>
      </c>
      <c r="C18" s="434"/>
      <c r="H18" s="431"/>
      <c r="I18" s="1098">
        <v>0</v>
      </c>
      <c r="J18" s="432">
        <v>0</v>
      </c>
      <c r="K18" s="437">
        <f>I18*J18</f>
        <v>0</v>
      </c>
      <c r="L18" s="842"/>
    </row>
    <row r="19" spans="2:12">
      <c r="B19" s="421"/>
      <c r="C19" s="434"/>
      <c r="H19" s="431"/>
      <c r="I19" s="1098"/>
      <c r="J19" s="432"/>
      <c r="K19" s="437"/>
      <c r="L19" s="842"/>
    </row>
    <row r="20" spans="2:12">
      <c r="B20" s="421"/>
      <c r="C20" s="434"/>
      <c r="H20" s="431"/>
      <c r="I20" s="1098"/>
      <c r="J20" s="439" t="s">
        <v>348</v>
      </c>
      <c r="K20" s="440">
        <f>SUM(K14:K18)</f>
        <v>5000000</v>
      </c>
      <c r="L20" s="843"/>
    </row>
    <row r="21" spans="2:12">
      <c r="B21" s="428" t="s">
        <v>349</v>
      </c>
      <c r="C21" s="429" t="s">
        <v>1005</v>
      </c>
      <c r="D21" s="377"/>
      <c r="E21" s="377"/>
      <c r="F21" s="377"/>
      <c r="G21" s="377"/>
      <c r="H21" s="431"/>
      <c r="I21" s="1098"/>
      <c r="J21" s="432"/>
      <c r="K21" s="437"/>
      <c r="L21" s="867"/>
    </row>
    <row r="22" spans="2:12">
      <c r="B22" s="421">
        <v>1</v>
      </c>
      <c r="C22" s="1114" t="str">
        <f>[80]Sheet1!$B$8</f>
        <v> Kabel UTP</v>
      </c>
      <c r="D22" s="377"/>
      <c r="E22" s="377"/>
      <c r="F22" s="377"/>
      <c r="G22" s="377"/>
      <c r="H22" s="272" t="s">
        <v>1006</v>
      </c>
      <c r="I22" s="1098">
        <v>1</v>
      </c>
      <c r="J22" s="432">
        <f>[80]Sheet1!$D$8</f>
        <v>2000000</v>
      </c>
      <c r="K22" s="437">
        <f t="shared" ref="K22:K28" si="0">I22*J22</f>
        <v>2000000</v>
      </c>
      <c r="L22" s="842"/>
    </row>
    <row r="23" spans="2:12">
      <c r="B23" s="421">
        <f t="shared" ref="B23:B28" si="1">B22+1</f>
        <v>2</v>
      </c>
      <c r="C23" s="1114" t="str">
        <f>[80]Sheet1!$B$9</f>
        <v>Konektor RJ-45</v>
      </c>
      <c r="H23" s="272" t="s">
        <v>1013</v>
      </c>
      <c r="I23" s="1098">
        <v>1</v>
      </c>
      <c r="J23" s="432">
        <f>[80]Sheet1!$D$9</f>
        <v>1500000</v>
      </c>
      <c r="K23" s="437">
        <f t="shared" si="0"/>
        <v>1500000</v>
      </c>
      <c r="L23" s="842"/>
    </row>
    <row r="24" spans="2:12">
      <c r="B24" s="421">
        <f t="shared" si="1"/>
        <v>3</v>
      </c>
      <c r="C24" s="1114" t="str">
        <f>[80]Sheet1!$B$10</f>
        <v>Kartu Jaringan (LAN Card)</v>
      </c>
      <c r="H24" s="272" t="s">
        <v>392</v>
      </c>
      <c r="I24" s="1098">
        <v>1</v>
      </c>
      <c r="J24" s="432">
        <f>[80]Sheet1!$D$10</f>
        <v>1500000</v>
      </c>
      <c r="K24" s="437">
        <f t="shared" si="0"/>
        <v>1500000</v>
      </c>
      <c r="L24" s="842"/>
    </row>
    <row r="25" spans="2:12">
      <c r="B25" s="421">
        <f t="shared" si="1"/>
        <v>4</v>
      </c>
      <c r="C25" s="1114" t="str">
        <f>[80]Sheet1!$B$11</f>
        <v>Switch / Hub Managable</v>
      </c>
      <c r="H25" s="272" t="s">
        <v>392</v>
      </c>
      <c r="I25" s="1098">
        <v>1</v>
      </c>
      <c r="J25" s="432">
        <f>[80]Sheet1!$D$11</f>
        <v>10000000</v>
      </c>
      <c r="K25" s="437">
        <f t="shared" si="0"/>
        <v>10000000</v>
      </c>
      <c r="L25" s="842"/>
    </row>
    <row r="26" spans="2:12">
      <c r="B26" s="421">
        <f t="shared" si="1"/>
        <v>5</v>
      </c>
      <c r="C26" s="1114" t="str">
        <f>[80]Sheet1!$B$12</f>
        <v>Alat dukung</v>
      </c>
      <c r="H26" s="272" t="s">
        <v>392</v>
      </c>
      <c r="I26" s="1098">
        <v>1</v>
      </c>
      <c r="J26" s="432">
        <f>[80]Sheet1!$D$12</f>
        <v>500000</v>
      </c>
      <c r="K26" s="437">
        <f t="shared" si="0"/>
        <v>500000</v>
      </c>
      <c r="L26" s="842"/>
    </row>
    <row r="27" spans="2:12">
      <c r="B27" s="421">
        <f t="shared" si="1"/>
        <v>6</v>
      </c>
      <c r="C27" s="434"/>
      <c r="H27" s="431"/>
      <c r="I27" s="1099">
        <v>0</v>
      </c>
      <c r="J27" s="446">
        <v>0</v>
      </c>
      <c r="K27" s="437">
        <f t="shared" si="0"/>
        <v>0</v>
      </c>
      <c r="L27" s="842"/>
    </row>
    <row r="28" spans="2:12">
      <c r="B28" s="421">
        <f t="shared" si="1"/>
        <v>7</v>
      </c>
      <c r="C28" s="434"/>
      <c r="H28" s="431"/>
      <c r="I28" s="1098">
        <v>0</v>
      </c>
      <c r="J28" s="432">
        <v>0</v>
      </c>
      <c r="K28" s="437">
        <f t="shared" si="0"/>
        <v>0</v>
      </c>
      <c r="L28" s="842"/>
    </row>
    <row r="29" spans="2:12">
      <c r="B29" s="421"/>
      <c r="C29" s="434"/>
      <c r="H29" s="431"/>
      <c r="I29" s="1098"/>
      <c r="J29" s="432"/>
      <c r="K29" s="437"/>
      <c r="L29" s="842"/>
    </row>
    <row r="30" spans="2:12">
      <c r="B30" s="421"/>
      <c r="C30" s="434"/>
      <c r="H30" s="431"/>
      <c r="I30" s="1098"/>
      <c r="J30" s="439" t="s">
        <v>353</v>
      </c>
      <c r="K30" s="440">
        <f>SUM(K22:K28)</f>
        <v>15500000</v>
      </c>
      <c r="L30" s="843"/>
    </row>
    <row r="31" spans="2:12">
      <c r="B31" s="428" t="s">
        <v>354</v>
      </c>
      <c r="C31" s="429" t="s">
        <v>1012</v>
      </c>
      <c r="D31" s="377"/>
      <c r="E31" s="377"/>
      <c r="F31" s="377"/>
      <c r="G31" s="377"/>
      <c r="H31" s="431"/>
      <c r="I31" s="1098"/>
      <c r="J31" s="432"/>
      <c r="K31" s="437"/>
      <c r="L31" s="867"/>
    </row>
    <row r="32" spans="2:12">
      <c r="B32" s="421">
        <v>1</v>
      </c>
      <c r="C32" s="1114" t="str">
        <f>[80]Sheet1!$B$14</f>
        <v>Cctv indoor</v>
      </c>
      <c r="H32" s="272" t="s">
        <v>392</v>
      </c>
      <c r="I32" s="1098">
        <v>1</v>
      </c>
      <c r="J32" s="432">
        <f>[80]Sheet1!$D$14</f>
        <v>3500000</v>
      </c>
      <c r="K32" s="437">
        <f t="shared" ref="K32:K48" si="2">I32*J32</f>
        <v>3500000</v>
      </c>
      <c r="L32" s="842"/>
    </row>
    <row r="33" spans="2:12">
      <c r="B33" s="421">
        <f t="shared" ref="B33:B48" si="3">B32+1</f>
        <v>2</v>
      </c>
      <c r="C33" s="1114" t="str">
        <f>[80]Sheet1!$B$15</f>
        <v>Cctv outdoor</v>
      </c>
      <c r="H33" s="272" t="s">
        <v>392</v>
      </c>
      <c r="I33" s="1098">
        <v>1</v>
      </c>
      <c r="J33" s="432">
        <f>[80]Sheet1!$D$15</f>
        <v>3500000</v>
      </c>
      <c r="K33" s="437">
        <f t="shared" si="2"/>
        <v>3500000</v>
      </c>
      <c r="L33" s="842"/>
    </row>
    <row r="34" spans="2:12">
      <c r="B34" s="421">
        <f t="shared" si="3"/>
        <v>3</v>
      </c>
      <c r="C34" s="1114" t="str">
        <f>[80]Sheet1!$B$16</f>
        <v>DVR</v>
      </c>
      <c r="H34" s="272" t="s">
        <v>392</v>
      </c>
      <c r="I34" s="1098">
        <v>1</v>
      </c>
      <c r="J34" s="432">
        <f>[80]Sheet1!$D$16</f>
        <v>5000000</v>
      </c>
      <c r="K34" s="437">
        <f t="shared" si="2"/>
        <v>5000000</v>
      </c>
      <c r="L34" s="842"/>
    </row>
    <row r="35" spans="2:12">
      <c r="B35" s="421">
        <f t="shared" si="3"/>
        <v>4</v>
      </c>
      <c r="C35" s="1114" t="str">
        <f>[80]Sheet1!$B$17</f>
        <v>Adapter dan Power Supply.</v>
      </c>
      <c r="H35" s="272" t="s">
        <v>392</v>
      </c>
      <c r="I35" s="1098">
        <v>1</v>
      </c>
      <c r="J35" s="432">
        <f>[80]Sheet1!$D$17</f>
        <v>900000</v>
      </c>
      <c r="K35" s="437">
        <f t="shared" si="2"/>
        <v>900000</v>
      </c>
      <c r="L35" s="842"/>
    </row>
    <row r="36" spans="2:12">
      <c r="B36" s="421">
        <f t="shared" si="3"/>
        <v>5</v>
      </c>
      <c r="C36" s="1114" t="str">
        <f>[80]Sheet1!$B$18</f>
        <v>Kabel Power.</v>
      </c>
      <c r="H36" s="272" t="s">
        <v>1006</v>
      </c>
      <c r="I36" s="1098">
        <v>1</v>
      </c>
      <c r="J36" s="432">
        <f>[80]Sheet1!$D$18</f>
        <v>1000000</v>
      </c>
      <c r="K36" s="437">
        <f t="shared" si="2"/>
        <v>1000000</v>
      </c>
      <c r="L36" s="842"/>
    </row>
    <row r="37" spans="2:12">
      <c r="B37" s="421">
        <f t="shared" si="3"/>
        <v>6</v>
      </c>
      <c r="C37" s="1114" t="str">
        <f>[80]Sheet1!$B$19</f>
        <v>Crimp Kabel.</v>
      </c>
      <c r="H37" s="272" t="s">
        <v>392</v>
      </c>
      <c r="I37" s="1098">
        <v>1</v>
      </c>
      <c r="J37" s="432">
        <f>[80]Sheet1!$D$19</f>
        <v>2000000</v>
      </c>
      <c r="K37" s="437">
        <f t="shared" si="2"/>
        <v>2000000</v>
      </c>
      <c r="L37" s="842"/>
    </row>
    <row r="38" spans="2:12">
      <c r="B38" s="421">
        <f t="shared" si="3"/>
        <v>7</v>
      </c>
      <c r="C38" s="1114" t="str">
        <f>[80]Sheet1!$B$20</f>
        <v>Kabel Coaxial.</v>
      </c>
      <c r="D38" s="1100"/>
      <c r="E38" s="1100"/>
      <c r="F38" s="1100"/>
      <c r="G38" s="1100"/>
      <c r="H38" s="272" t="s">
        <v>1006</v>
      </c>
      <c r="I38" s="1098">
        <v>1</v>
      </c>
      <c r="J38" s="432">
        <f>[80]Sheet1!$D$20</f>
        <v>3500000</v>
      </c>
      <c r="K38" s="437">
        <f t="shared" si="2"/>
        <v>3500000</v>
      </c>
      <c r="L38" s="842"/>
    </row>
    <row r="39" spans="2:12">
      <c r="B39" s="421">
        <f t="shared" si="3"/>
        <v>8</v>
      </c>
      <c r="C39" s="1114" t="str">
        <f>[80]Sheet1!$B$21</f>
        <v>Konektor RF.</v>
      </c>
      <c r="H39" s="272" t="s">
        <v>1013</v>
      </c>
      <c r="I39" s="1098">
        <v>1</v>
      </c>
      <c r="J39" s="432">
        <f>[80]Sheet1!$D$21</f>
        <v>1000000</v>
      </c>
      <c r="K39" s="437">
        <f t="shared" si="2"/>
        <v>1000000</v>
      </c>
      <c r="L39" s="842"/>
    </row>
    <row r="40" spans="2:12">
      <c r="B40" s="421">
        <f t="shared" si="3"/>
        <v>9</v>
      </c>
      <c r="C40" s="434"/>
      <c r="H40" s="431"/>
      <c r="I40" s="1098">
        <v>0</v>
      </c>
      <c r="J40" s="432">
        <v>0</v>
      </c>
      <c r="K40" s="437">
        <f t="shared" si="2"/>
        <v>0</v>
      </c>
      <c r="L40" s="842"/>
    </row>
    <row r="41" spans="2:12">
      <c r="B41" s="421">
        <f t="shared" si="3"/>
        <v>10</v>
      </c>
      <c r="C41" s="434"/>
      <c r="H41" s="431"/>
      <c r="I41" s="1098">
        <v>0</v>
      </c>
      <c r="J41" s="432">
        <v>0</v>
      </c>
      <c r="K41" s="437">
        <f t="shared" si="2"/>
        <v>0</v>
      </c>
      <c r="L41" s="842"/>
    </row>
    <row r="42" spans="2:12">
      <c r="B42" s="421">
        <f t="shared" si="3"/>
        <v>11</v>
      </c>
      <c r="C42" s="434"/>
      <c r="H42" s="431"/>
      <c r="I42" s="1098">
        <v>0</v>
      </c>
      <c r="J42" s="432">
        <v>0</v>
      </c>
      <c r="K42" s="437">
        <f t="shared" si="2"/>
        <v>0</v>
      </c>
      <c r="L42" s="842"/>
    </row>
    <row r="43" spans="2:12">
      <c r="B43" s="421">
        <f t="shared" si="3"/>
        <v>12</v>
      </c>
      <c r="C43" s="434"/>
      <c r="H43" s="431"/>
      <c r="I43" s="1098">
        <v>0</v>
      </c>
      <c r="J43" s="432">
        <v>0</v>
      </c>
      <c r="K43" s="437">
        <f t="shared" si="2"/>
        <v>0</v>
      </c>
      <c r="L43" s="842"/>
    </row>
    <row r="44" spans="2:12">
      <c r="B44" s="421">
        <f t="shared" si="3"/>
        <v>13</v>
      </c>
      <c r="C44" s="434"/>
      <c r="H44" s="431"/>
      <c r="I44" s="1098">
        <v>0</v>
      </c>
      <c r="J44" s="432">
        <v>0</v>
      </c>
      <c r="K44" s="437">
        <f t="shared" si="2"/>
        <v>0</v>
      </c>
      <c r="L44" s="842"/>
    </row>
    <row r="45" spans="2:12">
      <c r="B45" s="421">
        <f t="shared" si="3"/>
        <v>14</v>
      </c>
      <c r="C45" s="434"/>
      <c r="H45" s="431"/>
      <c r="I45" s="1098">
        <v>0</v>
      </c>
      <c r="J45" s="432">
        <v>0</v>
      </c>
      <c r="K45" s="437">
        <f t="shared" si="2"/>
        <v>0</v>
      </c>
      <c r="L45" s="842"/>
    </row>
    <row r="46" spans="2:12">
      <c r="B46" s="421">
        <f t="shared" si="3"/>
        <v>15</v>
      </c>
      <c r="C46" s="434"/>
      <c r="H46" s="431"/>
      <c r="I46" s="1098">
        <v>0</v>
      </c>
      <c r="J46" s="432">
        <v>0</v>
      </c>
      <c r="K46" s="437">
        <f t="shared" si="2"/>
        <v>0</v>
      </c>
      <c r="L46" s="842"/>
    </row>
    <row r="47" spans="2:12">
      <c r="B47" s="421">
        <f t="shared" si="3"/>
        <v>16</v>
      </c>
      <c r="C47" s="434"/>
      <c r="H47" s="431"/>
      <c r="I47" s="1098">
        <v>0</v>
      </c>
      <c r="J47" s="432">
        <v>0</v>
      </c>
      <c r="K47" s="437">
        <f t="shared" si="2"/>
        <v>0</v>
      </c>
      <c r="L47" s="842"/>
    </row>
    <row r="48" spans="2:12">
      <c r="B48" s="421">
        <f t="shared" si="3"/>
        <v>17</v>
      </c>
      <c r="C48" s="434"/>
      <c r="H48" s="431"/>
      <c r="I48" s="1098">
        <v>0</v>
      </c>
      <c r="J48" s="432">
        <v>0</v>
      </c>
      <c r="K48" s="437">
        <f t="shared" si="2"/>
        <v>0</v>
      </c>
      <c r="L48" s="842"/>
    </row>
    <row r="49" spans="2:12">
      <c r="B49" s="421"/>
      <c r="C49" s="434"/>
      <c r="H49" s="431"/>
      <c r="I49" s="1098"/>
      <c r="J49" s="432"/>
      <c r="K49" s="437"/>
      <c r="L49" s="842"/>
    </row>
    <row r="50" spans="2:12" ht="14.25" customHeight="1">
      <c r="B50" s="421"/>
      <c r="C50" s="434"/>
      <c r="H50" s="431"/>
      <c r="I50" s="1101"/>
      <c r="J50" s="439" t="s">
        <v>358</v>
      </c>
      <c r="K50" s="440">
        <f>SUM(K32:K48)</f>
        <v>20400000</v>
      </c>
      <c r="L50" s="843"/>
    </row>
    <row r="51" spans="2:12">
      <c r="B51" s="428" t="s">
        <v>359</v>
      </c>
      <c r="C51" s="568" t="s">
        <v>1008</v>
      </c>
      <c r="D51" s="377"/>
      <c r="E51" s="377"/>
      <c r="F51" s="377"/>
      <c r="G51" s="377"/>
      <c r="H51" s="431"/>
      <c r="I51" s="1101"/>
      <c r="J51" s="432"/>
      <c r="K51" s="437"/>
      <c r="L51" s="867"/>
    </row>
    <row r="52" spans="2:12">
      <c r="B52" s="421">
        <v>1</v>
      </c>
      <c r="C52" s="1114" t="str">
        <f>[80]Sheet1!$B$23</f>
        <v>Acess Point</v>
      </c>
      <c r="H52" s="272" t="s">
        <v>392</v>
      </c>
      <c r="I52" s="1099">
        <v>1</v>
      </c>
      <c r="J52" s="446">
        <f>[80]Sheet1!$D$23</f>
        <v>8500000</v>
      </c>
      <c r="K52" s="437">
        <f>I52*J52</f>
        <v>8500000</v>
      </c>
      <c r="L52" s="842"/>
    </row>
    <row r="53" spans="2:12">
      <c r="B53" s="421">
        <f>B52+1</f>
        <v>2</v>
      </c>
      <c r="C53" s="1114" t="str">
        <f>[80]Sheet1!$B$24</f>
        <v>Antena Omni</v>
      </c>
      <c r="H53" s="272" t="s">
        <v>392</v>
      </c>
      <c r="I53" s="1099">
        <v>1</v>
      </c>
      <c r="J53" s="446">
        <f>[80]Sheet1!$D$24</f>
        <v>10000000</v>
      </c>
      <c r="K53" s="437">
        <f>I53*J53</f>
        <v>10000000</v>
      </c>
      <c r="L53" s="842"/>
    </row>
    <row r="54" spans="2:12">
      <c r="B54" s="421">
        <f>B53+1</f>
        <v>3</v>
      </c>
      <c r="C54" s="1114" t="str">
        <f>[80]Sheet1!$B$25</f>
        <v>Kabel Pigtail/Kabel Jumper</v>
      </c>
      <c r="H54" s="272" t="s">
        <v>1006</v>
      </c>
      <c r="I54" s="1099">
        <v>1</v>
      </c>
      <c r="J54" s="446">
        <f>[80]Sheet1!$D$25</f>
        <v>500000</v>
      </c>
      <c r="K54" s="437">
        <f>I54*J54</f>
        <v>500000</v>
      </c>
      <c r="L54" s="842"/>
    </row>
    <row r="55" spans="2:12">
      <c r="B55" s="421">
        <f t="shared" ref="B55:B57" si="4">B54+1</f>
        <v>4</v>
      </c>
      <c r="C55" s="1114" t="str">
        <f>[80]Sheet1!$B$26</f>
        <v>POE (Power Over Ethernet)</v>
      </c>
      <c r="H55" s="272" t="s">
        <v>392</v>
      </c>
      <c r="I55" s="1099">
        <v>1</v>
      </c>
      <c r="J55" s="446">
        <f>[80]Sheet1!$D$26</f>
        <v>2000000</v>
      </c>
      <c r="K55" s="437">
        <f t="shared" ref="K55:K57" si="5">I55*J55</f>
        <v>2000000</v>
      </c>
      <c r="L55" s="842"/>
    </row>
    <row r="56" spans="2:12">
      <c r="B56" s="421">
        <f t="shared" si="4"/>
        <v>5</v>
      </c>
      <c r="C56" s="1114" t="str">
        <f>[80]Sheet1!$B$27</f>
        <v>Kabel UTP/STP</v>
      </c>
      <c r="H56" s="272" t="s">
        <v>1006</v>
      </c>
      <c r="I56" s="1099">
        <v>1</v>
      </c>
      <c r="J56" s="446">
        <f>[80]Sheet1!$D$27</f>
        <v>3000000</v>
      </c>
      <c r="K56" s="437">
        <f t="shared" si="5"/>
        <v>3000000</v>
      </c>
      <c r="L56" s="842"/>
    </row>
    <row r="57" spans="2:12">
      <c r="B57" s="421">
        <f t="shared" si="4"/>
        <v>6</v>
      </c>
      <c r="C57" s="1114" t="str">
        <f>[80]Sheet1!$B$28</f>
        <v>Penangkal Petir (Lightning Arrester)</v>
      </c>
      <c r="H57" s="272" t="s">
        <v>392</v>
      </c>
      <c r="I57" s="1099">
        <v>1</v>
      </c>
      <c r="J57" s="446">
        <f>[80]Sheet1!$D$28</f>
        <v>3000000</v>
      </c>
      <c r="K57" s="437">
        <f t="shared" si="5"/>
        <v>3000000</v>
      </c>
      <c r="L57" s="842"/>
    </row>
    <row r="58" spans="2:12">
      <c r="B58" s="421"/>
      <c r="C58" s="434"/>
      <c r="H58" s="431"/>
      <c r="I58" s="1101"/>
      <c r="J58" s="439" t="s">
        <v>361</v>
      </c>
      <c r="K58" s="440">
        <f>SUM(K52:K57)</f>
        <v>27000000</v>
      </c>
      <c r="L58" s="843"/>
    </row>
    <row r="59" spans="2:12">
      <c r="B59" s="428" t="s">
        <v>362</v>
      </c>
      <c r="C59" s="568" t="s">
        <v>1009</v>
      </c>
      <c r="D59" s="377"/>
      <c r="E59" s="377"/>
      <c r="F59" s="377"/>
      <c r="G59" s="377"/>
      <c r="H59" s="431"/>
      <c r="I59" s="1101"/>
      <c r="J59" s="432"/>
      <c r="K59" s="437"/>
      <c r="L59" s="867"/>
    </row>
    <row r="60" spans="2:12">
      <c r="B60" s="421">
        <v>1</v>
      </c>
      <c r="C60" s="1114" t="str">
        <f>[80]Sheet1!$B$37</f>
        <v>Rumah Kabel</v>
      </c>
      <c r="H60" s="272" t="s">
        <v>1014</v>
      </c>
      <c r="I60" s="1098">
        <v>1</v>
      </c>
      <c r="J60" s="432">
        <f>[80]Sheet1!$D$37</f>
        <v>1500000</v>
      </c>
      <c r="K60" s="437">
        <f>I60*J60</f>
        <v>1500000</v>
      </c>
      <c r="L60" s="842"/>
    </row>
    <row r="61" spans="2:12">
      <c r="B61" s="421">
        <f>B60+1</f>
        <v>2</v>
      </c>
      <c r="C61" s="1114" t="str">
        <f>[80]Sheet1!$B$38</f>
        <v>paku-paku &amp; Klem</v>
      </c>
      <c r="H61" s="272" t="s">
        <v>1015</v>
      </c>
      <c r="I61" s="1098">
        <v>1</v>
      </c>
      <c r="J61" s="432">
        <f>[80]Sheet1!$D$38</f>
        <v>2000000</v>
      </c>
      <c r="K61" s="437">
        <f>I61*J61</f>
        <v>2000000</v>
      </c>
      <c r="L61" s="842"/>
    </row>
    <row r="62" spans="2:12">
      <c r="B62" s="421">
        <f t="shared" ref="B62:B63" si="6">B61+1</f>
        <v>3</v>
      </c>
      <c r="C62" s="434"/>
      <c r="H62" s="431"/>
      <c r="I62" s="1098">
        <v>0</v>
      </c>
      <c r="J62" s="432">
        <v>0</v>
      </c>
      <c r="K62" s="437">
        <f>I62*J62</f>
        <v>0</v>
      </c>
      <c r="L62" s="842"/>
    </row>
    <row r="63" spans="2:12">
      <c r="B63" s="421">
        <f t="shared" si="6"/>
        <v>4</v>
      </c>
      <c r="C63" s="434"/>
      <c r="H63" s="431"/>
      <c r="I63" s="1098">
        <v>0</v>
      </c>
      <c r="J63" s="432">
        <v>0</v>
      </c>
      <c r="K63" s="437">
        <f>I63*J63</f>
        <v>0</v>
      </c>
      <c r="L63" s="842"/>
    </row>
    <row r="64" spans="2:12">
      <c r="B64" s="421"/>
      <c r="C64" s="434"/>
      <c r="H64" s="431"/>
      <c r="I64" s="1098"/>
      <c r="J64" s="432"/>
      <c r="K64" s="437"/>
      <c r="L64" s="842"/>
    </row>
    <row r="65" spans="2:16">
      <c r="B65" s="421"/>
      <c r="C65" s="434"/>
      <c r="H65" s="431"/>
      <c r="I65" s="1101"/>
      <c r="J65" s="439" t="s">
        <v>365</v>
      </c>
      <c r="K65" s="440">
        <f>SUM(K60:K63)</f>
        <v>3500000</v>
      </c>
      <c r="L65" s="843"/>
      <c r="P65" s="448"/>
    </row>
    <row r="66" spans="2:16">
      <c r="B66" s="449" t="s">
        <v>366</v>
      </c>
      <c r="C66" s="429" t="s">
        <v>1010</v>
      </c>
      <c r="D66" s="377"/>
      <c r="E66" s="377"/>
      <c r="F66" s="377"/>
      <c r="G66" s="377"/>
      <c r="H66" s="431"/>
      <c r="I66" s="1101"/>
      <c r="J66" s="432"/>
      <c r="K66" s="437"/>
      <c r="L66" s="867"/>
    </row>
    <row r="67" spans="2:16">
      <c r="B67" s="421">
        <v>1</v>
      </c>
      <c r="C67" s="434" t="str">
        <f>[80]Sheet1!$B$30</f>
        <v>Kabel Telepon outdoor</v>
      </c>
      <c r="H67" s="272" t="s">
        <v>1006</v>
      </c>
      <c r="I67" s="1098">
        <v>1</v>
      </c>
      <c r="J67" s="432">
        <f>[80]Sheet1!$D$30</f>
        <v>4500000</v>
      </c>
      <c r="K67" s="437">
        <f t="shared" ref="K67:K73" si="7">I67*J67</f>
        <v>4500000</v>
      </c>
      <c r="L67" s="842"/>
    </row>
    <row r="68" spans="2:16">
      <c r="B68" s="421">
        <f t="shared" ref="B68:B73" si="8">B67+1</f>
        <v>2</v>
      </c>
      <c r="C68" s="1114" t="str">
        <f>[80]Sheet1!$B$31</f>
        <v>Kabel Telepon Indoor</v>
      </c>
      <c r="H68" s="272" t="s">
        <v>1006</v>
      </c>
      <c r="I68" s="1098">
        <v>1</v>
      </c>
      <c r="J68" s="432">
        <f>[80]Sheet1!$D$31</f>
        <v>4000000</v>
      </c>
      <c r="K68" s="437">
        <f t="shared" si="7"/>
        <v>4000000</v>
      </c>
      <c r="L68" s="842"/>
    </row>
    <row r="69" spans="2:16">
      <c r="B69" s="421">
        <f t="shared" si="8"/>
        <v>3</v>
      </c>
      <c r="C69" s="1114" t="str">
        <f>[80]Sheet1!$B$32</f>
        <v>Box Telepon Konektor</v>
      </c>
      <c r="H69" s="272" t="s">
        <v>392</v>
      </c>
      <c r="I69" s="1098">
        <v>1</v>
      </c>
      <c r="J69" s="432">
        <f>[80]Sheet1!$D$32</f>
        <v>6500000</v>
      </c>
      <c r="K69" s="437">
        <f t="shared" si="7"/>
        <v>6500000</v>
      </c>
      <c r="L69" s="842"/>
    </row>
    <row r="70" spans="2:16">
      <c r="B70" s="421">
        <f t="shared" si="8"/>
        <v>4</v>
      </c>
      <c r="C70" s="1114" t="str">
        <f>[80]Sheet1!$B$33</f>
        <v>Kabel Protection ( Ugreen Cable Zipper Protection )</v>
      </c>
      <c r="H70" s="272" t="s">
        <v>813</v>
      </c>
      <c r="I70" s="1098">
        <f>I69</f>
        <v>1</v>
      </c>
      <c r="J70" s="432">
        <f>[80]Sheet1!$D$33</f>
        <v>200000</v>
      </c>
      <c r="K70" s="437">
        <f t="shared" si="7"/>
        <v>200000</v>
      </c>
      <c r="L70" s="842"/>
    </row>
    <row r="71" spans="2:16">
      <c r="B71" s="421">
        <f t="shared" si="8"/>
        <v>5</v>
      </c>
      <c r="C71" s="1114" t="str">
        <f>[80]Sheet1!$B$34</f>
        <v>Paku Klem</v>
      </c>
      <c r="H71" s="272" t="s">
        <v>1015</v>
      </c>
      <c r="I71" s="1098">
        <v>1</v>
      </c>
      <c r="J71" s="432">
        <f>[80]Sheet1!$D$34</f>
        <v>500000</v>
      </c>
      <c r="K71" s="437">
        <f t="shared" si="7"/>
        <v>500000</v>
      </c>
      <c r="L71" s="842"/>
    </row>
    <row r="72" spans="2:16">
      <c r="B72" s="421">
        <f t="shared" si="8"/>
        <v>6</v>
      </c>
      <c r="C72" s="1114" t="str">
        <f>[80]Sheet1!$B$35</f>
        <v>Peralatan kerja pabx</v>
      </c>
      <c r="H72" s="272" t="s">
        <v>392</v>
      </c>
      <c r="I72" s="1098">
        <v>1</v>
      </c>
      <c r="J72" s="432">
        <f>[80]Sheet1!$D$35</f>
        <v>2000000</v>
      </c>
      <c r="K72" s="437">
        <f t="shared" si="7"/>
        <v>2000000</v>
      </c>
      <c r="L72" s="842"/>
    </row>
    <row r="73" spans="2:16">
      <c r="B73" s="421">
        <f t="shared" si="8"/>
        <v>7</v>
      </c>
      <c r="C73" s="434"/>
      <c r="H73" s="431"/>
      <c r="I73" s="1098">
        <v>0</v>
      </c>
      <c r="J73" s="432">
        <v>0</v>
      </c>
      <c r="K73" s="437">
        <f t="shared" si="7"/>
        <v>0</v>
      </c>
      <c r="L73" s="842"/>
    </row>
    <row r="74" spans="2:16">
      <c r="B74" s="421"/>
      <c r="C74" s="434"/>
      <c r="H74" s="431"/>
      <c r="I74" s="1098"/>
      <c r="J74" s="432"/>
      <c r="K74" s="437"/>
      <c r="L74" s="842"/>
    </row>
    <row r="75" spans="2:16">
      <c r="B75" s="421"/>
      <c r="C75" s="434"/>
      <c r="H75" s="431"/>
      <c r="I75" s="1101"/>
      <c r="J75" s="439" t="s">
        <v>368</v>
      </c>
      <c r="K75" s="440">
        <f>SUM(K67:K73)</f>
        <v>17700000</v>
      </c>
      <c r="L75" s="843"/>
    </row>
    <row r="76" spans="2:16">
      <c r="B76" s="428" t="s">
        <v>369</v>
      </c>
      <c r="C76" s="429" t="s">
        <v>62</v>
      </c>
      <c r="D76" s="377"/>
      <c r="E76" s="377"/>
      <c r="F76" s="377"/>
      <c r="G76" s="377"/>
      <c r="H76" s="431"/>
      <c r="I76" s="1101"/>
      <c r="J76" s="432"/>
      <c r="K76" s="437"/>
      <c r="L76" s="867"/>
    </row>
    <row r="77" spans="2:16">
      <c r="B77" s="421">
        <v>1</v>
      </c>
      <c r="C77" s="434"/>
      <c r="H77" s="431"/>
      <c r="I77" s="1098">
        <v>0</v>
      </c>
      <c r="J77" s="432">
        <v>0</v>
      </c>
      <c r="K77" s="437">
        <f>I77*J77</f>
        <v>0</v>
      </c>
      <c r="L77" s="842"/>
    </row>
    <row r="78" spans="2:16">
      <c r="B78" s="421"/>
      <c r="C78" s="434"/>
      <c r="H78" s="431"/>
      <c r="I78" s="1098"/>
      <c r="J78" s="432"/>
      <c r="K78" s="437"/>
      <c r="L78" s="842"/>
    </row>
    <row r="79" spans="2:16">
      <c r="B79" s="421"/>
      <c r="C79" s="434"/>
      <c r="H79" s="431"/>
      <c r="I79" s="1101"/>
      <c r="J79" s="439" t="s">
        <v>371</v>
      </c>
      <c r="K79" s="440">
        <f>SUM(K77:K78)</f>
        <v>0</v>
      </c>
      <c r="L79" s="843"/>
    </row>
    <row r="80" spans="2:16">
      <c r="B80" s="449" t="s">
        <v>372</v>
      </c>
      <c r="C80" s="429" t="s">
        <v>62</v>
      </c>
      <c r="D80" s="377"/>
      <c r="E80" s="377"/>
      <c r="F80" s="377"/>
      <c r="G80" s="377"/>
      <c r="H80" s="431"/>
      <c r="I80" s="1101"/>
      <c r="J80" s="432"/>
      <c r="K80" s="437"/>
      <c r="L80" s="867"/>
    </row>
    <row r="81" spans="2:12">
      <c r="B81" s="421">
        <v>1</v>
      </c>
      <c r="C81" s="434"/>
      <c r="H81" s="431"/>
      <c r="I81" s="1098">
        <v>0</v>
      </c>
      <c r="J81" s="432">
        <v>0</v>
      </c>
      <c r="K81" s="437">
        <f>I81*J81</f>
        <v>0</v>
      </c>
      <c r="L81" s="842"/>
    </row>
    <row r="82" spans="2:12">
      <c r="B82" s="421">
        <f>B81+1</f>
        <v>2</v>
      </c>
      <c r="C82" s="434"/>
      <c r="H82" s="431"/>
      <c r="I82" s="1098">
        <v>0</v>
      </c>
      <c r="J82" s="432">
        <v>0</v>
      </c>
      <c r="K82" s="437">
        <f>I82*J82</f>
        <v>0</v>
      </c>
      <c r="L82" s="842"/>
    </row>
    <row r="83" spans="2:12">
      <c r="B83" s="421">
        <f>B82+1</f>
        <v>3</v>
      </c>
      <c r="C83" s="434"/>
      <c r="H83" s="431"/>
      <c r="I83" s="1098">
        <v>0</v>
      </c>
      <c r="J83" s="432">
        <v>0</v>
      </c>
      <c r="K83" s="437">
        <f>I83*J83</f>
        <v>0</v>
      </c>
      <c r="L83" s="842"/>
    </row>
    <row r="84" spans="2:12">
      <c r="B84" s="421"/>
      <c r="C84" s="434"/>
      <c r="H84" s="431"/>
      <c r="I84" s="1101"/>
      <c r="J84" s="432"/>
      <c r="K84" s="437"/>
      <c r="L84" s="867"/>
    </row>
    <row r="85" spans="2:12">
      <c r="B85" s="421">
        <f>B83+1</f>
        <v>4</v>
      </c>
      <c r="C85" s="434"/>
      <c r="H85" s="431"/>
      <c r="I85" s="1098">
        <v>0</v>
      </c>
      <c r="J85" s="432">
        <v>0</v>
      </c>
      <c r="K85" s="437">
        <f>I85*J85</f>
        <v>0</v>
      </c>
      <c r="L85" s="842"/>
    </row>
    <row r="86" spans="2:12">
      <c r="B86" s="421">
        <f t="shared" ref="B86:B87" si="9">B85+1</f>
        <v>5</v>
      </c>
      <c r="C86" s="434"/>
      <c r="H86" s="431"/>
      <c r="I86" s="1098">
        <v>0</v>
      </c>
      <c r="J86" s="432">
        <v>0</v>
      </c>
      <c r="K86" s="437">
        <f>I86*J86</f>
        <v>0</v>
      </c>
      <c r="L86" s="842"/>
    </row>
    <row r="87" spans="2:12">
      <c r="B87" s="421">
        <f t="shared" si="9"/>
        <v>6</v>
      </c>
      <c r="C87" s="434"/>
      <c r="H87" s="431"/>
      <c r="I87" s="1098">
        <v>0</v>
      </c>
      <c r="J87" s="432">
        <v>0</v>
      </c>
      <c r="K87" s="437">
        <f>I87*J87</f>
        <v>0</v>
      </c>
      <c r="L87" s="842"/>
    </row>
    <row r="88" spans="2:12">
      <c r="B88" s="421"/>
      <c r="C88" s="434"/>
      <c r="H88" s="431"/>
      <c r="I88" s="1101"/>
      <c r="J88" s="432"/>
      <c r="K88" s="437"/>
      <c r="L88" s="842"/>
    </row>
    <row r="89" spans="2:12">
      <c r="B89" s="421"/>
      <c r="C89" s="434"/>
      <c r="H89" s="431"/>
      <c r="I89" s="1101"/>
      <c r="J89" s="439" t="s">
        <v>377</v>
      </c>
      <c r="K89" s="440">
        <f>SUM(K81:K88)</f>
        <v>0</v>
      </c>
      <c r="L89" s="843"/>
    </row>
    <row r="90" spans="2:12">
      <c r="B90" s="428" t="s">
        <v>378</v>
      </c>
      <c r="C90" s="429" t="s">
        <v>62</v>
      </c>
      <c r="D90" s="377"/>
      <c r="E90" s="377"/>
      <c r="F90" s="377"/>
      <c r="G90" s="377"/>
      <c r="H90" s="431"/>
      <c r="I90" s="1101"/>
      <c r="J90" s="432"/>
      <c r="K90" s="437"/>
      <c r="L90" s="867"/>
    </row>
    <row r="91" spans="2:12">
      <c r="B91" s="421">
        <v>1</v>
      </c>
      <c r="C91" s="434"/>
      <c r="H91" s="431"/>
      <c r="I91" s="1098">
        <v>0</v>
      </c>
      <c r="J91" s="432">
        <v>0</v>
      </c>
      <c r="K91" s="437">
        <f t="shared" ref="K91:K97" si="10">I91*J91</f>
        <v>0</v>
      </c>
      <c r="L91" s="842"/>
    </row>
    <row r="92" spans="2:12">
      <c r="B92" s="421">
        <f t="shared" ref="B92:B97" si="11">B91+1</f>
        <v>2</v>
      </c>
      <c r="C92" s="434"/>
      <c r="H92" s="431"/>
      <c r="I92" s="1098">
        <v>0</v>
      </c>
      <c r="J92" s="432">
        <v>0</v>
      </c>
      <c r="K92" s="437">
        <f t="shared" si="10"/>
        <v>0</v>
      </c>
      <c r="L92" s="842"/>
    </row>
    <row r="93" spans="2:12">
      <c r="B93" s="421">
        <f t="shared" si="11"/>
        <v>3</v>
      </c>
      <c r="C93" s="434"/>
      <c r="H93" s="431"/>
      <c r="I93" s="1098">
        <v>0</v>
      </c>
      <c r="J93" s="432">
        <v>0</v>
      </c>
      <c r="K93" s="437">
        <f t="shared" si="10"/>
        <v>0</v>
      </c>
      <c r="L93" s="842"/>
    </row>
    <row r="94" spans="2:12">
      <c r="B94" s="421">
        <f t="shared" si="11"/>
        <v>4</v>
      </c>
      <c r="C94" s="434"/>
      <c r="H94" s="431"/>
      <c r="I94" s="1098">
        <v>0</v>
      </c>
      <c r="J94" s="432">
        <v>0</v>
      </c>
      <c r="K94" s="437">
        <f t="shared" si="10"/>
        <v>0</v>
      </c>
      <c r="L94" s="842"/>
    </row>
    <row r="95" spans="2:12">
      <c r="B95" s="421">
        <f t="shared" si="11"/>
        <v>5</v>
      </c>
      <c r="C95" s="434"/>
      <c r="H95" s="431"/>
      <c r="I95" s="1098">
        <v>0</v>
      </c>
      <c r="J95" s="432">
        <v>0</v>
      </c>
      <c r="K95" s="437">
        <f t="shared" si="10"/>
        <v>0</v>
      </c>
      <c r="L95" s="842"/>
    </row>
    <row r="96" spans="2:12">
      <c r="B96" s="421">
        <f t="shared" si="11"/>
        <v>6</v>
      </c>
      <c r="C96" s="434"/>
      <c r="H96" s="431"/>
      <c r="I96" s="1098">
        <v>0</v>
      </c>
      <c r="J96" s="432">
        <v>0</v>
      </c>
      <c r="K96" s="437">
        <f t="shared" si="10"/>
        <v>0</v>
      </c>
      <c r="L96" s="842"/>
    </row>
    <row r="97" spans="2:17">
      <c r="B97" s="421">
        <f t="shared" si="11"/>
        <v>7</v>
      </c>
      <c r="C97" s="434"/>
      <c r="H97" s="431"/>
      <c r="I97" s="1098">
        <v>0</v>
      </c>
      <c r="J97" s="432">
        <v>0</v>
      </c>
      <c r="K97" s="437">
        <f t="shared" si="10"/>
        <v>0</v>
      </c>
      <c r="L97" s="842"/>
    </row>
    <row r="98" spans="2:17">
      <c r="B98" s="421"/>
      <c r="C98" s="434"/>
      <c r="H98" s="431"/>
      <c r="I98" s="1101"/>
      <c r="J98" s="432"/>
      <c r="K98" s="437"/>
      <c r="L98" s="842"/>
    </row>
    <row r="99" spans="2:17">
      <c r="B99" s="421"/>
      <c r="C99" s="434"/>
      <c r="H99" s="431"/>
      <c r="I99" s="1101"/>
      <c r="J99" s="439" t="s">
        <v>383</v>
      </c>
      <c r="K99" s="440">
        <f>SUM(K91:K97)</f>
        <v>0</v>
      </c>
      <c r="L99" s="843"/>
    </row>
    <row r="100" spans="2:17">
      <c r="B100" s="428" t="s">
        <v>384</v>
      </c>
      <c r="C100" s="429" t="s">
        <v>62</v>
      </c>
      <c r="D100" s="377"/>
      <c r="E100" s="377"/>
      <c r="F100" s="377"/>
      <c r="G100" s="377"/>
      <c r="H100" s="431"/>
      <c r="I100" s="1101"/>
      <c r="J100" s="432"/>
      <c r="K100" s="437"/>
      <c r="L100" s="867"/>
    </row>
    <row r="101" spans="2:17">
      <c r="B101" s="421">
        <v>1</v>
      </c>
      <c r="C101" s="434"/>
      <c r="H101" s="431"/>
      <c r="I101" s="1071">
        <v>0</v>
      </c>
      <c r="J101" s="454">
        <v>0</v>
      </c>
      <c r="K101" s="455">
        <f>I101*J101</f>
        <v>0</v>
      </c>
      <c r="L101" s="842"/>
    </row>
    <row r="102" spans="2:17">
      <c r="B102" s="421">
        <f>B101+1</f>
        <v>2</v>
      </c>
      <c r="C102" s="434"/>
      <c r="H102" s="431"/>
      <c r="I102" s="1071">
        <v>0</v>
      </c>
      <c r="J102" s="454">
        <v>0</v>
      </c>
      <c r="K102" s="455">
        <f>I102*J102</f>
        <v>0</v>
      </c>
      <c r="L102" s="842"/>
    </row>
    <row r="103" spans="2:17">
      <c r="B103" s="421">
        <f t="shared" ref="B103:B104" si="12">B102+1</f>
        <v>3</v>
      </c>
      <c r="C103" s="434"/>
      <c r="H103" s="431"/>
      <c r="I103" s="1071">
        <v>0</v>
      </c>
      <c r="J103" s="454">
        <v>0</v>
      </c>
      <c r="K103" s="455">
        <f>I103*J103</f>
        <v>0</v>
      </c>
      <c r="L103" s="842"/>
    </row>
    <row r="104" spans="2:17">
      <c r="B104" s="421">
        <f t="shared" si="12"/>
        <v>4</v>
      </c>
      <c r="C104" s="434"/>
      <c r="H104" s="431"/>
      <c r="I104" s="1071">
        <v>0</v>
      </c>
      <c r="J104" s="454">
        <v>0</v>
      </c>
      <c r="K104" s="455">
        <f>I104*J104</f>
        <v>0</v>
      </c>
      <c r="L104" s="842"/>
    </row>
    <row r="105" spans="2:17">
      <c r="B105" s="421"/>
      <c r="C105" s="434"/>
      <c r="H105" s="431"/>
      <c r="I105" s="1101"/>
      <c r="J105" s="432"/>
      <c r="K105" s="437"/>
      <c r="L105" s="842"/>
    </row>
    <row r="106" spans="2:17">
      <c r="B106" s="421"/>
      <c r="C106" s="434"/>
      <c r="H106" s="431"/>
      <c r="I106" s="1101"/>
      <c r="J106" s="439" t="s">
        <v>388</v>
      </c>
      <c r="K106" s="440">
        <f>SUM(K101:K105)</f>
        <v>0</v>
      </c>
      <c r="L106" s="843"/>
    </row>
    <row r="107" spans="2:17">
      <c r="B107" s="428" t="s">
        <v>389</v>
      </c>
      <c r="C107" s="429" t="s">
        <v>62</v>
      </c>
      <c r="D107" s="377"/>
      <c r="E107" s="377"/>
      <c r="F107" s="377"/>
      <c r="G107" s="377"/>
      <c r="H107" s="431"/>
      <c r="I107" s="1101"/>
      <c r="J107" s="432"/>
      <c r="K107" s="437"/>
      <c r="L107" s="867"/>
    </row>
    <row r="108" spans="2:17">
      <c r="B108" s="421">
        <v>1</v>
      </c>
      <c r="C108" s="434"/>
      <c r="H108" s="431"/>
      <c r="I108" s="1098">
        <v>0</v>
      </c>
      <c r="J108" s="432">
        <v>0</v>
      </c>
      <c r="K108" s="437">
        <f>I108*J108</f>
        <v>0</v>
      </c>
      <c r="L108" s="842"/>
    </row>
    <row r="109" spans="2:17">
      <c r="B109" s="421">
        <v>2</v>
      </c>
      <c r="C109" s="434"/>
      <c r="H109" s="431"/>
      <c r="I109" s="1098">
        <f>I77+I78</f>
        <v>0</v>
      </c>
      <c r="J109" s="432">
        <v>0</v>
      </c>
      <c r="K109" s="437">
        <f>I109*J109</f>
        <v>0</v>
      </c>
      <c r="L109" s="842"/>
    </row>
    <row r="110" spans="2:17">
      <c r="B110" s="421"/>
      <c r="C110" s="434"/>
      <c r="H110" s="431"/>
      <c r="I110" s="1101"/>
      <c r="J110" s="432"/>
      <c r="K110" s="437"/>
      <c r="L110" s="842"/>
    </row>
    <row r="111" spans="2:17">
      <c r="B111" s="421"/>
      <c r="C111" s="434"/>
      <c r="H111" s="431"/>
      <c r="I111" s="1101"/>
      <c r="J111" s="439" t="s">
        <v>394</v>
      </c>
      <c r="K111" s="440">
        <f>SUM(K108:K110)</f>
        <v>0</v>
      </c>
      <c r="L111" s="843"/>
      <c r="M111" s="448"/>
      <c r="N111" s="448"/>
      <c r="Q111" s="448"/>
    </row>
    <row r="112" spans="2:17">
      <c r="B112" s="428" t="s">
        <v>395</v>
      </c>
      <c r="C112" s="429" t="s">
        <v>62</v>
      </c>
      <c r="D112" s="377"/>
      <c r="E112" s="377"/>
      <c r="F112" s="377"/>
      <c r="G112" s="377"/>
      <c r="H112" s="431"/>
      <c r="I112" s="1101"/>
      <c r="J112" s="432"/>
      <c r="K112" s="437"/>
      <c r="L112" s="867"/>
    </row>
    <row r="113" spans="2:12">
      <c r="B113" s="421"/>
      <c r="C113" s="434" t="s">
        <v>995</v>
      </c>
      <c r="H113" s="431"/>
      <c r="I113" s="1102"/>
      <c r="J113" s="1103"/>
      <c r="K113" s="437"/>
      <c r="L113" s="842"/>
    </row>
    <row r="114" spans="2:12">
      <c r="B114" s="421"/>
      <c r="C114" s="434"/>
      <c r="H114" s="431"/>
      <c r="I114" s="1102"/>
      <c r="J114" s="1103"/>
      <c r="K114" s="437"/>
      <c r="L114" s="842"/>
    </row>
    <row r="115" spans="2:12">
      <c r="B115" s="421"/>
      <c r="C115" s="434"/>
      <c r="H115" s="431"/>
      <c r="I115" s="1102"/>
      <c r="J115" s="1103"/>
      <c r="K115" s="437"/>
      <c r="L115" s="842"/>
    </row>
    <row r="116" spans="2:12">
      <c r="B116" s="421"/>
      <c r="C116" s="434"/>
      <c r="H116" s="431"/>
      <c r="I116" s="1102"/>
      <c r="J116" s="1103"/>
      <c r="K116" s="437"/>
      <c r="L116" s="842"/>
    </row>
    <row r="117" spans="2:12">
      <c r="B117" s="421"/>
      <c r="C117" s="434"/>
      <c r="H117" s="431"/>
      <c r="I117" s="1104"/>
      <c r="J117" s="432"/>
      <c r="K117" s="437"/>
      <c r="L117" s="842"/>
    </row>
    <row r="118" spans="2:12">
      <c r="B118" s="421"/>
      <c r="C118" s="434"/>
      <c r="H118" s="431"/>
      <c r="I118" s="1101"/>
      <c r="J118" s="439" t="s">
        <v>500</v>
      </c>
      <c r="K118" s="440">
        <f>SUM(K113:K117)</f>
        <v>0</v>
      </c>
      <c r="L118" s="842"/>
    </row>
    <row r="119" spans="2:12">
      <c r="B119" s="428" t="s">
        <v>404</v>
      </c>
      <c r="C119" s="429" t="s">
        <v>62</v>
      </c>
      <c r="H119" s="951"/>
      <c r="I119" s="1104"/>
      <c r="J119" s="432"/>
      <c r="K119" s="437"/>
      <c r="L119" s="842"/>
    </row>
    <row r="120" spans="2:12">
      <c r="B120" s="421"/>
      <c r="C120" s="434" t="s">
        <v>994</v>
      </c>
      <c r="H120" s="951"/>
      <c r="I120" s="445"/>
      <c r="J120" s="1103"/>
      <c r="K120" s="437"/>
      <c r="L120" s="867"/>
    </row>
    <row r="121" spans="2:12">
      <c r="B121" s="421"/>
      <c r="C121" s="434"/>
      <c r="H121" s="951"/>
      <c r="I121" s="445"/>
      <c r="J121" s="1103"/>
      <c r="K121" s="437"/>
      <c r="L121" s="843"/>
    </row>
    <row r="122" spans="2:12">
      <c r="B122" s="421"/>
      <c r="C122" s="434"/>
      <c r="H122" s="951"/>
      <c r="I122" s="445"/>
      <c r="J122" s="1103"/>
      <c r="K122" s="437"/>
      <c r="L122" s="867"/>
    </row>
    <row r="123" spans="2:12">
      <c r="B123" s="421"/>
      <c r="C123" s="434"/>
      <c r="H123" s="951"/>
      <c r="I123" s="445"/>
      <c r="J123" s="1103"/>
      <c r="K123" s="437"/>
      <c r="L123" s="842"/>
    </row>
    <row r="124" spans="2:12">
      <c r="B124" s="421"/>
      <c r="C124" s="434"/>
      <c r="H124" s="951"/>
      <c r="I124" s="445"/>
      <c r="J124" s="1103"/>
      <c r="K124" s="437"/>
      <c r="L124" s="842"/>
    </row>
    <row r="125" spans="2:12">
      <c r="B125" s="421"/>
      <c r="C125" s="434"/>
      <c r="H125" s="951"/>
      <c r="I125" s="445"/>
      <c r="J125" s="1103"/>
      <c r="K125" s="437"/>
      <c r="L125" s="842"/>
    </row>
    <row r="126" spans="2:12">
      <c r="B126" s="421"/>
      <c r="C126" s="434"/>
      <c r="H126" s="951"/>
      <c r="I126" s="1105"/>
      <c r="J126" s="432"/>
      <c r="K126" s="437"/>
      <c r="L126" s="842"/>
    </row>
    <row r="127" spans="2:12">
      <c r="B127" s="421"/>
      <c r="C127" s="434"/>
      <c r="H127" s="431"/>
      <c r="I127" s="1101"/>
      <c r="J127" s="439" t="s">
        <v>501</v>
      </c>
      <c r="K127" s="440">
        <f>SUM(K120:K126)</f>
        <v>0</v>
      </c>
      <c r="L127" s="867"/>
    </row>
    <row r="128" spans="2:12">
      <c r="B128" s="428" t="s">
        <v>773</v>
      </c>
      <c r="C128" s="429" t="s">
        <v>62</v>
      </c>
      <c r="D128" s="377"/>
      <c r="E128" s="377"/>
      <c r="F128" s="377"/>
      <c r="G128" s="377"/>
      <c r="H128" s="431"/>
      <c r="I128" s="1101"/>
      <c r="J128" s="432"/>
      <c r="K128" s="437"/>
      <c r="L128" s="867"/>
    </row>
    <row r="129" spans="2:12">
      <c r="B129" s="421">
        <v>1</v>
      </c>
      <c r="H129" s="431"/>
      <c r="I129" s="1098">
        <v>0</v>
      </c>
      <c r="J129" s="432">
        <v>0</v>
      </c>
      <c r="K129" s="437">
        <f t="shared" ref="K129:K133" si="13">I129*J129</f>
        <v>0</v>
      </c>
      <c r="L129" s="842"/>
    </row>
    <row r="130" spans="2:12">
      <c r="B130" s="421">
        <f>B129+1</f>
        <v>2</v>
      </c>
      <c r="H130" s="431"/>
      <c r="I130" s="1098">
        <v>0</v>
      </c>
      <c r="J130" s="432">
        <v>0</v>
      </c>
      <c r="K130" s="437">
        <f t="shared" si="13"/>
        <v>0</v>
      </c>
      <c r="L130" s="842"/>
    </row>
    <row r="131" spans="2:12">
      <c r="B131" s="421">
        <f t="shared" ref="B131:B133" si="14">B130+1</f>
        <v>3</v>
      </c>
      <c r="C131" s="434"/>
      <c r="H131" s="431"/>
      <c r="I131" s="1098">
        <v>0</v>
      </c>
      <c r="J131" s="432">
        <v>0</v>
      </c>
      <c r="K131" s="437">
        <f t="shared" si="13"/>
        <v>0</v>
      </c>
      <c r="L131" s="842"/>
    </row>
    <row r="132" spans="2:12">
      <c r="B132" s="421">
        <f t="shared" si="14"/>
        <v>4</v>
      </c>
      <c r="C132" s="434"/>
      <c r="H132" s="431"/>
      <c r="I132" s="1098">
        <v>0</v>
      </c>
      <c r="J132" s="432">
        <v>0</v>
      </c>
      <c r="K132" s="437">
        <f t="shared" si="13"/>
        <v>0</v>
      </c>
      <c r="L132" s="842"/>
    </row>
    <row r="133" spans="2:12">
      <c r="B133" s="421">
        <f t="shared" si="14"/>
        <v>5</v>
      </c>
      <c r="C133" s="434"/>
      <c r="H133" s="431"/>
      <c r="I133" s="1098">
        <v>0</v>
      </c>
      <c r="J133" s="432">
        <v>0</v>
      </c>
      <c r="K133" s="437">
        <f t="shared" si="13"/>
        <v>0</v>
      </c>
      <c r="L133" s="842"/>
    </row>
    <row r="134" spans="2:12">
      <c r="B134" s="421"/>
      <c r="C134" s="434"/>
      <c r="H134" s="431"/>
      <c r="I134" s="1098"/>
      <c r="J134" s="432"/>
      <c r="K134" s="437"/>
      <c r="L134" s="842"/>
    </row>
    <row r="135" spans="2:12">
      <c r="B135" s="421"/>
      <c r="C135" s="434"/>
      <c r="H135" s="431"/>
      <c r="I135" s="1098"/>
      <c r="J135" s="439" t="s">
        <v>991</v>
      </c>
      <c r="K135" s="440">
        <f>SUM(K129:K134)</f>
        <v>0</v>
      </c>
      <c r="L135" s="843"/>
    </row>
    <row r="136" spans="2:12">
      <c r="B136" s="421"/>
      <c r="C136" s="434"/>
      <c r="H136" s="431"/>
      <c r="I136" s="1098"/>
      <c r="J136" s="432"/>
      <c r="K136" s="440"/>
      <c r="L136" s="843"/>
    </row>
    <row r="137" spans="2:12">
      <c r="B137" s="1106"/>
      <c r="C137" s="676"/>
      <c r="D137" s="677"/>
      <c r="E137" s="677"/>
      <c r="F137" s="677"/>
      <c r="G137" s="677"/>
      <c r="H137" s="1107"/>
      <c r="I137" s="1108"/>
      <c r="J137" s="1109"/>
      <c r="K137" s="1110"/>
      <c r="L137" s="843"/>
    </row>
    <row r="138" spans="2:12">
      <c r="B138" s="421"/>
      <c r="I138" s="1098"/>
      <c r="J138" s="974"/>
      <c r="K138" s="440"/>
      <c r="L138" s="843"/>
    </row>
    <row r="139" spans="2:12">
      <c r="B139" s="421"/>
      <c r="I139" s="1098"/>
      <c r="J139" s="418" t="s">
        <v>410</v>
      </c>
      <c r="K139" s="467">
        <f>SUM(K14:K135)/2</f>
        <v>89100000</v>
      </c>
      <c r="L139" s="848"/>
    </row>
    <row r="140" spans="2:12" ht="16.5" thickBot="1">
      <c r="B140" s="468"/>
      <c r="C140" s="470"/>
      <c r="D140" s="470"/>
      <c r="E140" s="470"/>
      <c r="F140" s="470"/>
      <c r="G140" s="470"/>
      <c r="H140" s="472"/>
      <c r="I140" s="1111"/>
      <c r="J140" s="971"/>
      <c r="K140" s="475"/>
      <c r="L140" s="867"/>
    </row>
    <row r="141" spans="2:12" ht="16.5" thickTop="1">
      <c r="I141" s="1112"/>
      <c r="J141" s="477"/>
      <c r="K141" s="479"/>
      <c r="L141" s="867"/>
    </row>
    <row r="142" spans="2:12">
      <c r="I142" s="1112"/>
      <c r="J142" s="477"/>
      <c r="K142" s="478"/>
      <c r="L142" s="867"/>
    </row>
    <row r="143" spans="2:12">
      <c r="I143" s="1112"/>
      <c r="J143" s="477"/>
      <c r="K143" s="479"/>
      <c r="L143" s="867"/>
    </row>
    <row r="144" spans="2:12">
      <c r="I144" s="1112"/>
      <c r="J144" s="477"/>
      <c r="K144" s="478"/>
      <c r="L144" s="867"/>
    </row>
    <row r="145" spans="8:12">
      <c r="I145" s="1112"/>
      <c r="J145" s="477"/>
      <c r="K145" s="479"/>
      <c r="L145" s="867"/>
    </row>
    <row r="146" spans="8:12">
      <c r="I146" s="1112"/>
      <c r="J146" s="477"/>
      <c r="K146" s="479"/>
      <c r="L146" s="867"/>
    </row>
    <row r="147" spans="8:12">
      <c r="I147" s="1112"/>
      <c r="J147" s="477"/>
      <c r="K147" s="479"/>
      <c r="L147" s="867"/>
    </row>
    <row r="148" spans="8:12">
      <c r="I148" s="1112"/>
      <c r="J148" s="477"/>
      <c r="K148" s="479"/>
      <c r="L148" s="867"/>
    </row>
    <row r="149" spans="8:12">
      <c r="I149" s="1112"/>
      <c r="J149" s="477"/>
      <c r="K149" s="479"/>
      <c r="L149" s="867"/>
    </row>
    <row r="150" spans="8:12">
      <c r="I150" s="1112"/>
      <c r="J150" s="477"/>
      <c r="K150" s="479"/>
      <c r="L150" s="867"/>
    </row>
    <row r="151" spans="8:12">
      <c r="I151" s="1112"/>
      <c r="J151" s="477"/>
      <c r="K151" s="479"/>
      <c r="L151" s="867"/>
    </row>
    <row r="152" spans="8:12">
      <c r="I152" s="1112"/>
      <c r="J152" s="477"/>
      <c r="K152" s="479"/>
      <c r="L152" s="867"/>
    </row>
    <row r="153" spans="8:12">
      <c r="I153" s="1112"/>
      <c r="J153" s="477"/>
      <c r="K153" s="479"/>
      <c r="L153" s="867"/>
    </row>
    <row r="155" spans="8:12">
      <c r="H155" s="417"/>
      <c r="K155" s="480"/>
    </row>
    <row r="156" spans="8:12">
      <c r="H156" s="417"/>
      <c r="K156" s="448"/>
    </row>
    <row r="157" spans="8:12">
      <c r="K157" s="481"/>
    </row>
    <row r="158" spans="8:12">
      <c r="H158" s="417"/>
    </row>
    <row r="163" spans="8:8">
      <c r="H163" s="482"/>
    </row>
  </sheetData>
  <mergeCells count="2">
    <mergeCell ref="I8:K8"/>
    <mergeCell ref="L9:L10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E91B6-173B-447B-B95D-401871C6D9E8}">
  <sheetPr>
    <tabColor rgb="FFFFFF00"/>
    <pageSetUpPr fitToPage="1"/>
  </sheetPr>
  <dimension ref="A2:L48"/>
  <sheetViews>
    <sheetView topLeftCell="A13" zoomScale="101" zoomScaleNormal="115" workbookViewId="0">
      <selection activeCell="H44" sqref="H44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9.425781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810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809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Kios Pujasera 20 Kios dan 2 Toilet Blok A</v>
      </c>
      <c r="D13" s="58"/>
      <c r="E13" s="58"/>
      <c r="F13" s="58"/>
      <c r="G13" s="58"/>
      <c r="H13" s="59"/>
    </row>
    <row r="14" spans="1:12" s="60" customFormat="1">
      <c r="A14" s="39"/>
      <c r="B14" s="49"/>
      <c r="C14" s="58"/>
      <c r="D14" s="58"/>
      <c r="E14" s="58"/>
      <c r="F14" s="58"/>
      <c r="G14" s="58"/>
      <c r="H14" s="59"/>
      <c r="I14" s="39"/>
      <c r="J14" s="39"/>
      <c r="K14" s="39"/>
      <c r="L14" s="39"/>
    </row>
    <row r="15" spans="1:12" s="60" customFormat="1">
      <c r="A15" s="39"/>
      <c r="B15" s="61" t="s">
        <v>11</v>
      </c>
      <c r="C15" s="616" t="str">
        <f>BqKios!C12</f>
        <v>PEKERJAAN PERSIAPAN &amp; PENYELESAIAN</v>
      </c>
      <c r="D15" s="62"/>
      <c r="E15" s="62"/>
      <c r="F15" s="62"/>
      <c r="G15" s="62"/>
      <c r="H15" s="66">
        <f>BqKios!K18</f>
        <v>5000000</v>
      </c>
      <c r="I15" s="39"/>
      <c r="J15" s="39"/>
      <c r="K15" s="39"/>
      <c r="L15" s="39"/>
    </row>
    <row r="16" spans="1:12">
      <c r="B16" s="63"/>
      <c r="C16" s="64"/>
      <c r="D16" s="37"/>
      <c r="E16" s="37"/>
      <c r="F16" s="37"/>
      <c r="G16" s="37"/>
      <c r="H16" s="65"/>
    </row>
    <row r="17" spans="1:12" s="60" customFormat="1">
      <c r="A17" s="39"/>
      <c r="B17" s="61" t="s">
        <v>12</v>
      </c>
      <c r="C17" s="616" t="str">
        <f>BqKios!C19</f>
        <v>PEKERJAAN LAN</v>
      </c>
      <c r="D17" s="62"/>
      <c r="E17" s="62"/>
      <c r="F17" s="62"/>
      <c r="G17" s="62"/>
      <c r="H17" s="66">
        <f>BqKios!K25</f>
        <v>15500000</v>
      </c>
      <c r="I17" s="39"/>
      <c r="J17" s="39"/>
      <c r="K17" s="39"/>
      <c r="L17" s="39"/>
    </row>
    <row r="18" spans="1:12" s="60" customFormat="1">
      <c r="A18" s="39"/>
      <c r="B18" s="63"/>
      <c r="C18" s="67"/>
      <c r="D18" s="67"/>
      <c r="E18" s="67"/>
      <c r="F18" s="67"/>
      <c r="G18" s="67"/>
      <c r="H18" s="34"/>
      <c r="I18" s="39"/>
      <c r="J18" s="39"/>
      <c r="K18" s="39"/>
      <c r="L18" s="39"/>
    </row>
    <row r="19" spans="1:12">
      <c r="B19" s="61" t="s">
        <v>16</v>
      </c>
      <c r="C19" s="616" t="str">
        <f>BqKios!C26</f>
        <v>PEKERJAAN CCTV</v>
      </c>
      <c r="D19" s="62"/>
      <c r="E19" s="62"/>
      <c r="F19" s="62"/>
      <c r="G19" s="62"/>
      <c r="H19" s="66">
        <f>BqKios!K35</f>
        <v>20400000</v>
      </c>
    </row>
    <row r="20" spans="1:12" s="60" customFormat="1">
      <c r="A20" s="39"/>
      <c r="B20" s="63"/>
      <c r="C20" s="64"/>
      <c r="D20" s="37"/>
      <c r="E20" s="37"/>
      <c r="F20" s="37"/>
      <c r="G20" s="37"/>
      <c r="H20" s="34"/>
      <c r="I20" s="39"/>
      <c r="J20" s="39"/>
      <c r="K20" s="39"/>
      <c r="L20" s="39"/>
    </row>
    <row r="21" spans="1:12" s="60" customFormat="1">
      <c r="A21" s="39"/>
      <c r="B21" s="61" t="s">
        <v>19</v>
      </c>
      <c r="C21" s="617" t="str">
        <f>BqKios!C36</f>
        <v>PEKERJAAN WIFI</v>
      </c>
      <c r="D21" s="37"/>
      <c r="E21" s="37"/>
      <c r="F21" s="37"/>
      <c r="G21" s="37"/>
      <c r="H21" s="34">
        <f>BqKios!K43</f>
        <v>27000000</v>
      </c>
      <c r="I21" s="39"/>
      <c r="J21" s="39"/>
      <c r="K21" s="39"/>
      <c r="L21" s="39"/>
    </row>
    <row r="22" spans="1:12" s="60" customFormat="1">
      <c r="A22" s="39"/>
      <c r="B22" s="63"/>
      <c r="C22" s="68"/>
      <c r="D22" s="37"/>
      <c r="E22" s="37"/>
      <c r="F22" s="37"/>
      <c r="G22" s="37"/>
      <c r="H22" s="65"/>
      <c r="I22" s="39"/>
      <c r="J22" s="39"/>
      <c r="K22" s="39"/>
      <c r="L22" s="39"/>
    </row>
    <row r="23" spans="1:12">
      <c r="B23" s="63" t="s">
        <v>22</v>
      </c>
      <c r="C23" s="618" t="str">
        <f>BqKios!C44</f>
        <v>MATERIAL TAMBAHAN</v>
      </c>
      <c r="D23" s="37"/>
      <c r="E23" s="37"/>
      <c r="F23" s="37"/>
      <c r="G23" s="37"/>
      <c r="H23" s="34">
        <f>BqKios!K48</f>
        <v>3500000</v>
      </c>
    </row>
    <row r="24" spans="1:12" s="60" customFormat="1">
      <c r="A24" s="39"/>
      <c r="B24" s="63"/>
      <c r="C24" s="36"/>
      <c r="D24" s="37"/>
      <c r="E24" s="37"/>
      <c r="F24" s="37"/>
      <c r="G24" s="37"/>
      <c r="H24" s="65"/>
      <c r="I24" s="39"/>
      <c r="J24" s="39"/>
      <c r="K24" s="39"/>
      <c r="L24" s="39"/>
    </row>
    <row r="25" spans="1:12" s="60" customFormat="1">
      <c r="A25" s="39"/>
      <c r="B25" s="61" t="s">
        <v>25</v>
      </c>
      <c r="C25" s="619" t="str">
        <f>BqKios!C49</f>
        <v>PEKERJAAN PABX</v>
      </c>
      <c r="D25" s="37"/>
      <c r="E25" s="37"/>
      <c r="F25" s="37"/>
      <c r="G25" s="37"/>
      <c r="H25" s="34">
        <f>BqKios!K56</f>
        <v>17700000</v>
      </c>
      <c r="I25" s="39"/>
      <c r="J25" s="39"/>
      <c r="K25" s="39"/>
      <c r="L25" s="39"/>
    </row>
    <row r="26" spans="1:12" s="60" customFormat="1">
      <c r="A26" s="39"/>
      <c r="B26" s="63"/>
      <c r="C26" s="36"/>
      <c r="D26" s="67"/>
      <c r="E26" s="37"/>
      <c r="F26" s="37"/>
      <c r="G26" s="37"/>
      <c r="H26" s="34"/>
      <c r="I26" s="39"/>
      <c r="J26" s="39"/>
      <c r="K26" s="39"/>
      <c r="L26" s="39"/>
    </row>
    <row r="27" spans="1:12">
      <c r="B27" s="61" t="s">
        <v>27</v>
      </c>
      <c r="C27" s="619" t="str">
        <f>BqKios!C58</f>
        <v>-</v>
      </c>
      <c r="D27" s="37"/>
      <c r="E27" s="37"/>
      <c r="F27" s="37"/>
      <c r="G27" s="37"/>
      <c r="H27" s="34">
        <f>BqKios!K61</f>
        <v>0</v>
      </c>
    </row>
    <row r="28" spans="1:12">
      <c r="B28" s="63"/>
      <c r="C28" s="36"/>
      <c r="D28" s="37"/>
      <c r="E28" s="37"/>
      <c r="F28" s="37"/>
      <c r="G28" s="37"/>
      <c r="H28" s="34"/>
    </row>
    <row r="29" spans="1:12">
      <c r="B29" s="63" t="s">
        <v>28</v>
      </c>
      <c r="C29" s="36" t="str">
        <f>BqKios!C62</f>
        <v>-</v>
      </c>
      <c r="D29" s="37"/>
      <c r="E29" s="37"/>
      <c r="F29" s="37"/>
      <c r="G29" s="37"/>
      <c r="H29" s="34">
        <f>BqKios!K69</f>
        <v>0</v>
      </c>
    </row>
    <row r="30" spans="1:12">
      <c r="B30" s="63"/>
      <c r="C30" s="36"/>
      <c r="D30" s="37"/>
      <c r="E30" s="37"/>
      <c r="F30" s="37"/>
      <c r="G30" s="37"/>
      <c r="H30" s="34"/>
    </row>
    <row r="31" spans="1:12">
      <c r="B31" s="63" t="s">
        <v>30</v>
      </c>
      <c r="C31" s="36" t="str">
        <f>BqKios!C70</f>
        <v>-</v>
      </c>
      <c r="D31" s="37"/>
      <c r="E31" s="37"/>
      <c r="F31" s="37"/>
      <c r="G31" s="37"/>
      <c r="H31" s="34">
        <f>BqKios!K75</f>
        <v>0</v>
      </c>
    </row>
    <row r="32" spans="1:12">
      <c r="B32" s="63"/>
      <c r="C32" s="36"/>
      <c r="D32" s="37"/>
      <c r="E32" s="37"/>
      <c r="F32" s="37"/>
      <c r="G32" s="37"/>
      <c r="H32" s="34"/>
    </row>
    <row r="33" spans="2:8">
      <c r="B33" s="63" t="s">
        <v>33</v>
      </c>
      <c r="C33" s="36" t="str">
        <f>BqKios!C76</f>
        <v>-</v>
      </c>
      <c r="D33" s="37"/>
      <c r="E33" s="37"/>
      <c r="F33" s="37"/>
      <c r="G33" s="37"/>
      <c r="H33" s="34">
        <f>BqKios!K80</f>
        <v>0</v>
      </c>
    </row>
    <row r="34" spans="2:8">
      <c r="B34" s="63"/>
      <c r="C34" s="36"/>
      <c r="D34" s="37"/>
      <c r="E34" s="37"/>
      <c r="F34" s="37"/>
      <c r="G34" s="37"/>
      <c r="H34" s="34"/>
    </row>
    <row r="35" spans="2:8">
      <c r="B35" s="63" t="s">
        <v>34</v>
      </c>
      <c r="C35" s="619" t="str">
        <f>BqKios!C81</f>
        <v>-</v>
      </c>
      <c r="D35" s="37"/>
      <c r="E35" s="37"/>
      <c r="F35" s="37"/>
      <c r="G35" s="37"/>
      <c r="H35" s="34">
        <f>BqKios!K87</f>
        <v>0</v>
      </c>
    </row>
    <row r="36" spans="2:8">
      <c r="B36" s="63"/>
      <c r="C36" s="36"/>
      <c r="D36" s="37"/>
      <c r="E36" s="37"/>
      <c r="F36" s="37"/>
      <c r="G36" s="37"/>
      <c r="H36" s="34"/>
    </row>
    <row r="37" spans="2:8">
      <c r="B37" s="61" t="s">
        <v>36</v>
      </c>
      <c r="C37" s="619" t="str">
        <f>BqKios!C88</f>
        <v>-</v>
      </c>
      <c r="D37" s="37"/>
      <c r="E37" s="37"/>
      <c r="F37" s="37"/>
      <c r="G37" s="37"/>
      <c r="H37" s="34">
        <f>BqKios!K93</f>
        <v>0</v>
      </c>
    </row>
    <row r="38" spans="2:8">
      <c r="B38" s="63"/>
      <c r="C38" s="36"/>
      <c r="D38" s="37"/>
      <c r="E38" s="37"/>
      <c r="F38" s="37"/>
      <c r="G38" s="37"/>
      <c r="H38" s="65"/>
    </row>
    <row r="39" spans="2:8">
      <c r="B39" s="61" t="s">
        <v>37</v>
      </c>
      <c r="C39" s="619" t="str">
        <f>BqKios!C94</f>
        <v>-</v>
      </c>
      <c r="D39" s="37"/>
      <c r="E39" s="37"/>
      <c r="F39" s="37"/>
      <c r="G39" s="37"/>
      <c r="H39" s="34">
        <f>BqKios!K101</f>
        <v>0</v>
      </c>
    </row>
    <row r="40" spans="2:8">
      <c r="B40" s="63"/>
      <c r="C40" s="36"/>
      <c r="D40" s="37"/>
      <c r="E40" s="37"/>
      <c r="F40" s="37"/>
      <c r="G40" s="37"/>
      <c r="H40" s="34"/>
    </row>
    <row r="41" spans="2:8" ht="16.5" thickBot="1">
      <c r="B41" s="69"/>
      <c r="C41" s="70"/>
      <c r="D41" s="70"/>
      <c r="E41" s="70"/>
      <c r="F41" s="70"/>
      <c r="G41" s="70"/>
      <c r="H41" s="71"/>
    </row>
    <row r="42" spans="2:8" ht="17.25" thickTop="1" thickBot="1">
      <c r="B42" s="72"/>
      <c r="C42" s="73"/>
      <c r="D42" s="73"/>
      <c r="E42" s="73"/>
      <c r="F42" s="74" t="s">
        <v>41</v>
      </c>
      <c r="G42" s="74"/>
      <c r="H42" s="75">
        <f>SUM(H15:H41)</f>
        <v>89100000</v>
      </c>
    </row>
    <row r="43" spans="2:8" ht="16.5" thickTop="1">
      <c r="B43" s="76"/>
      <c r="C43" s="77"/>
      <c r="D43" s="77"/>
      <c r="E43" s="77"/>
      <c r="F43" s="77"/>
      <c r="G43" s="77"/>
      <c r="H43" s="78"/>
    </row>
    <row r="44" spans="2:8">
      <c r="B44" s="79"/>
      <c r="C44" s="56"/>
      <c r="D44" s="56"/>
      <c r="E44" s="58"/>
      <c r="F44" s="39" t="s">
        <v>5</v>
      </c>
      <c r="G44" s="714">
        <v>18</v>
      </c>
      <c r="H44" s="835">
        <f>H42*G44</f>
        <v>1603800000</v>
      </c>
    </row>
    <row r="45" spans="2:8">
      <c r="B45" s="81"/>
      <c r="C45" s="41"/>
      <c r="E45" s="44"/>
      <c r="H45" s="82"/>
    </row>
    <row r="46" spans="2:8">
      <c r="B46" s="81"/>
      <c r="C46" s="41"/>
      <c r="E46" s="44"/>
      <c r="H46" s="83"/>
    </row>
    <row r="47" spans="2:8" ht="16.5" thickBot="1">
      <c r="B47" s="84"/>
      <c r="C47" s="85"/>
      <c r="D47" s="85"/>
      <c r="E47" s="85"/>
      <c r="F47" s="85"/>
      <c r="G47" s="85"/>
      <c r="H47" s="86"/>
    </row>
    <row r="48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08A999-A87E-49F8-9AE6-03990D040573}">
  <dimension ref="A1:Q106"/>
  <sheetViews>
    <sheetView topLeftCell="A83" workbookViewId="0">
      <selection activeCell="C53" sqref="C53"/>
    </sheetView>
  </sheetViews>
  <sheetFormatPr defaultColWidth="9.140625" defaultRowHeight="15.75"/>
  <cols>
    <col min="1" max="1" width="9.140625" style="814"/>
    <col min="2" max="2" width="6.42578125" style="814" customWidth="1"/>
    <col min="3" max="7" width="10.7109375" style="814" customWidth="1"/>
    <col min="8" max="8" width="7.42578125" style="815" bestFit="1" customWidth="1"/>
    <col min="9" max="9" width="9.42578125" style="814" customWidth="1"/>
    <col min="10" max="10" width="12.7109375" style="416" bestFit="1" customWidth="1"/>
    <col min="11" max="11" width="15.5703125" style="814" customWidth="1"/>
    <col min="12" max="12" width="12.42578125" style="814" bestFit="1" customWidth="1"/>
    <col min="13" max="15" width="9.140625" style="814"/>
    <col min="16" max="16" width="14.140625" style="814" customWidth="1"/>
    <col min="17" max="17" width="12.28515625" style="814" bestFit="1" customWidth="1"/>
    <col min="18" max="16384" width="9.140625" style="814"/>
  </cols>
  <sheetData>
    <row r="1" spans="2:12">
      <c r="B1"/>
      <c r="C1"/>
      <c r="D1"/>
      <c r="E1"/>
      <c r="F1"/>
      <c r="G1"/>
      <c r="H1"/>
      <c r="I1"/>
      <c r="J1"/>
      <c r="K1" s="643"/>
      <c r="L1" s="814" t="s">
        <v>802</v>
      </c>
    </row>
    <row r="2" spans="2:12">
      <c r="B2" s="4" t="s">
        <v>0</v>
      </c>
      <c r="C2" s="2"/>
      <c r="D2" s="1"/>
      <c r="E2" s="5"/>
      <c r="F2" s="6"/>
      <c r="G2" s="1"/>
      <c r="H2" s="1"/>
      <c r="I2" s="1"/>
      <c r="J2" s="3"/>
      <c r="K2" s="3"/>
    </row>
    <row r="3" spans="2:12">
      <c r="B3" s="420" t="s">
        <v>804</v>
      </c>
      <c r="C3" s="2"/>
      <c r="D3" s="1"/>
      <c r="E3" s="5"/>
      <c r="F3" s="6"/>
      <c r="G3" s="1"/>
      <c r="H3" s="1"/>
      <c r="I3" s="1"/>
      <c r="J3" s="3"/>
      <c r="K3" s="3"/>
    </row>
    <row r="4" spans="2:12">
      <c r="B4" s="7" t="s">
        <v>1</v>
      </c>
      <c r="C4" s="2"/>
      <c r="D4" s="1"/>
      <c r="E4" s="5"/>
      <c r="F4" s="6"/>
      <c r="G4" s="1"/>
      <c r="H4" s="1"/>
      <c r="I4" s="1"/>
      <c r="J4" s="3"/>
      <c r="K4" s="3"/>
    </row>
    <row r="5" spans="2:12">
      <c r="B5" s="4" t="s">
        <v>2</v>
      </c>
      <c r="C5" s="2"/>
      <c r="D5" s="1"/>
      <c r="E5" s="5"/>
      <c r="F5" s="6"/>
      <c r="G5" s="1"/>
      <c r="H5" s="1"/>
      <c r="I5" s="1"/>
      <c r="J5" s="3"/>
      <c r="K5" s="3"/>
    </row>
    <row r="6" spans="2:12">
      <c r="B6" s="7" t="s">
        <v>3</v>
      </c>
      <c r="C6" s="2"/>
      <c r="D6" s="1"/>
      <c r="E6" s="5"/>
      <c r="F6" s="6"/>
      <c r="G6" s="1"/>
      <c r="H6" s="1"/>
      <c r="I6" s="1"/>
      <c r="J6" s="3"/>
      <c r="K6" s="3"/>
    </row>
    <row r="7" spans="2:12" ht="16.5" thickBot="1">
      <c r="B7" s="1"/>
      <c r="C7" s="1"/>
      <c r="D7" s="1"/>
      <c r="E7" s="1"/>
      <c r="F7" s="1"/>
      <c r="G7" s="1"/>
      <c r="H7" s="1"/>
      <c r="I7" s="1136" t="str">
        <f>'08SumKios'!F8</f>
        <v>No. 008/RAB-Blok A -SSBP/I/2021</v>
      </c>
      <c r="J7" s="1136"/>
      <c r="K7" s="1136"/>
    </row>
    <row r="8" spans="2:12" ht="16.5" thickTop="1">
      <c r="B8" s="8"/>
      <c r="C8" s="9"/>
      <c r="D8" s="9"/>
      <c r="E8" s="9"/>
      <c r="F8" s="9"/>
      <c r="G8" s="9"/>
      <c r="H8" s="10"/>
      <c r="I8" s="11"/>
      <c r="J8" s="12" t="s">
        <v>4</v>
      </c>
      <c r="K8" s="620" t="s">
        <v>5</v>
      </c>
    </row>
    <row r="9" spans="2:12" ht="13.9" customHeight="1">
      <c r="B9" s="14" t="s">
        <v>6</v>
      </c>
      <c r="C9" s="15" t="s">
        <v>7</v>
      </c>
      <c r="D9" s="15"/>
      <c r="E9" s="15"/>
      <c r="F9" s="15"/>
      <c r="G9" s="15"/>
      <c r="H9" s="16" t="s">
        <v>8</v>
      </c>
      <c r="I9" s="17" t="s">
        <v>9</v>
      </c>
      <c r="J9" s="18" t="s">
        <v>8</v>
      </c>
      <c r="K9" s="621" t="s">
        <v>4</v>
      </c>
    </row>
    <row r="10" spans="2:12" ht="16.5" thickBot="1">
      <c r="B10" s="20"/>
      <c r="C10" s="21"/>
      <c r="D10" s="21"/>
      <c r="E10" s="21"/>
      <c r="F10" s="21"/>
      <c r="G10" s="21"/>
      <c r="H10" s="22"/>
      <c r="I10" s="23"/>
      <c r="J10" s="24" t="s">
        <v>10</v>
      </c>
      <c r="K10" s="622" t="s">
        <v>10</v>
      </c>
    </row>
    <row r="11" spans="2:12" ht="16.5" thickTop="1">
      <c r="B11" s="821"/>
      <c r="C11" s="422"/>
      <c r="D11" s="423"/>
      <c r="E11" s="423"/>
      <c r="F11" s="423"/>
      <c r="G11" s="423"/>
      <c r="H11" s="425"/>
      <c r="I11" s="425"/>
      <c r="J11" s="824"/>
      <c r="K11" s="822"/>
    </row>
    <row r="12" spans="2:12">
      <c r="B12" s="428" t="s">
        <v>339</v>
      </c>
      <c r="C12" s="429" t="s">
        <v>340</v>
      </c>
      <c r="D12" s="816"/>
      <c r="E12" s="816"/>
      <c r="F12" s="816"/>
      <c r="G12" s="816"/>
      <c r="H12" s="431"/>
      <c r="I12" s="431"/>
      <c r="J12" s="825"/>
      <c r="K12" s="433"/>
    </row>
    <row r="13" spans="2:12">
      <c r="B13" s="421">
        <v>1</v>
      </c>
      <c r="C13" s="434" t="str">
        <f>[80]Sheet1!$B$3</f>
        <v xml:space="preserve">Pembersihan awal dan Selama Proyek Berjalan </v>
      </c>
      <c r="H13" s="272" t="s">
        <v>357</v>
      </c>
      <c r="I13" s="436">
        <v>1</v>
      </c>
      <c r="J13" s="825">
        <f>[80]Sheet1!$D$3</f>
        <v>1000000</v>
      </c>
      <c r="K13" s="437">
        <f>I13*J13</f>
        <v>1000000</v>
      </c>
    </row>
    <row r="14" spans="2:12">
      <c r="B14" s="421">
        <f>B13+1</f>
        <v>2</v>
      </c>
      <c r="C14" s="434" t="str">
        <f>[80]Sheet1!$B$4</f>
        <v>Pembersihan akhir sampah dll</v>
      </c>
      <c r="H14" s="272" t="s">
        <v>357</v>
      </c>
      <c r="I14" s="436">
        <v>1</v>
      </c>
      <c r="J14" s="825">
        <f>[80]Sheet1!$D$4</f>
        <v>1000000</v>
      </c>
      <c r="K14" s="437">
        <f>I14*J14</f>
        <v>1000000</v>
      </c>
    </row>
    <row r="15" spans="2:12">
      <c r="B15" s="421">
        <f>B14+1</f>
        <v>3</v>
      </c>
      <c r="C15" s="1113" t="str">
        <f>[80]Sheet1!$B$5</f>
        <v>Survey</v>
      </c>
      <c r="H15" s="272" t="s">
        <v>357</v>
      </c>
      <c r="I15" s="436">
        <v>1</v>
      </c>
      <c r="J15" s="825">
        <f>[80]Sheet1!$D$5</f>
        <v>2000000</v>
      </c>
      <c r="K15" s="437">
        <f>I15*J15</f>
        <v>2000000</v>
      </c>
    </row>
    <row r="16" spans="2:12">
      <c r="B16" s="421">
        <f>B15+1</f>
        <v>4</v>
      </c>
      <c r="C16" s="1113" t="str">
        <f>[80]Sheet1!$B$6</f>
        <v>Pembuatan gambar teknis</v>
      </c>
      <c r="H16" s="272" t="s">
        <v>357</v>
      </c>
      <c r="I16" s="436">
        <v>1</v>
      </c>
      <c r="J16" s="825">
        <f>[80]Sheet1!$D$6</f>
        <v>1000000</v>
      </c>
      <c r="K16" s="437">
        <f>I16*J16</f>
        <v>1000000</v>
      </c>
    </row>
    <row r="17" spans="2:12">
      <c r="B17" s="438"/>
      <c r="C17" s="434" t="s">
        <v>806</v>
      </c>
      <c r="H17" s="431"/>
      <c r="I17" s="436"/>
      <c r="J17" s="825"/>
      <c r="K17" s="437"/>
    </row>
    <row r="18" spans="2:12">
      <c r="B18" s="421"/>
      <c r="C18" s="434"/>
      <c r="H18" s="431"/>
      <c r="I18" s="436"/>
      <c r="J18" s="832" t="s">
        <v>348</v>
      </c>
      <c r="K18" s="440">
        <f>SUM(K13:K16)</f>
        <v>5000000</v>
      </c>
      <c r="L18" s="818"/>
    </row>
    <row r="19" spans="2:12">
      <c r="B19" s="428" t="s">
        <v>349</v>
      </c>
      <c r="C19" s="429" t="s">
        <v>1005</v>
      </c>
      <c r="D19" s="816"/>
      <c r="E19" s="816"/>
      <c r="F19" s="816"/>
      <c r="G19" s="816"/>
      <c r="H19" s="431"/>
      <c r="I19" s="436"/>
      <c r="J19" s="825"/>
      <c r="K19" s="437"/>
    </row>
    <row r="20" spans="2:12">
      <c r="B20" s="421">
        <v>1</v>
      </c>
      <c r="C20" s="1114" t="str">
        <f>[80]Sheet1!$B$8</f>
        <v> Kabel UTP</v>
      </c>
      <c r="H20" s="272" t="s">
        <v>1006</v>
      </c>
      <c r="I20" s="436">
        <v>1</v>
      </c>
      <c r="J20" s="825">
        <f>[80]Sheet1!$D$8</f>
        <v>2000000</v>
      </c>
      <c r="K20" s="437">
        <f>I20*J20</f>
        <v>2000000</v>
      </c>
      <c r="L20" s="818"/>
    </row>
    <row r="21" spans="2:12">
      <c r="B21" s="421">
        <f>B20+1</f>
        <v>2</v>
      </c>
      <c r="C21" s="1114" t="str">
        <f>[80]Sheet1!$B$9</f>
        <v>Konektor RJ-45</v>
      </c>
      <c r="H21" s="272" t="s">
        <v>1013</v>
      </c>
      <c r="I21" s="436">
        <v>1</v>
      </c>
      <c r="J21" s="825">
        <f>[80]Sheet1!$D$9</f>
        <v>1500000</v>
      </c>
      <c r="K21" s="437">
        <f>I21*J21</f>
        <v>1500000</v>
      </c>
    </row>
    <row r="22" spans="2:12">
      <c r="B22" s="421">
        <f>B21+1</f>
        <v>3</v>
      </c>
      <c r="C22" s="1114" t="str">
        <f>[80]Sheet1!$B$10</f>
        <v>Kartu Jaringan (LAN Card)</v>
      </c>
      <c r="H22" s="272" t="s">
        <v>392</v>
      </c>
      <c r="I22" s="436">
        <v>1</v>
      </c>
      <c r="J22" s="825">
        <f>[80]Sheet1!$D$10</f>
        <v>1500000</v>
      </c>
      <c r="K22" s="437">
        <f>I22*J22</f>
        <v>1500000</v>
      </c>
    </row>
    <row r="23" spans="2:12">
      <c r="B23" s="421">
        <f t="shared" ref="B23:B24" si="0">B22+1</f>
        <v>4</v>
      </c>
      <c r="C23" s="1114" t="str">
        <f>[80]Sheet1!$B$11</f>
        <v>Switch / Hub Managable</v>
      </c>
      <c r="H23" s="272" t="s">
        <v>392</v>
      </c>
      <c r="I23" s="436">
        <v>1</v>
      </c>
      <c r="J23" s="825">
        <f>[80]Sheet1!$D$11</f>
        <v>10000000</v>
      </c>
      <c r="K23" s="437">
        <f t="shared" ref="K23:K24" si="1">I23*J23</f>
        <v>10000000</v>
      </c>
    </row>
    <row r="24" spans="2:12">
      <c r="B24" s="421">
        <f t="shared" si="0"/>
        <v>5</v>
      </c>
      <c r="C24" s="1114" t="str">
        <f>[80]Sheet1!$B$12</f>
        <v>Alat dukung</v>
      </c>
      <c r="H24" s="272" t="s">
        <v>392</v>
      </c>
      <c r="I24" s="436">
        <v>1</v>
      </c>
      <c r="J24" s="825">
        <f>[80]Sheet1!$D$12</f>
        <v>500000</v>
      </c>
      <c r="K24" s="437">
        <f t="shared" si="1"/>
        <v>500000</v>
      </c>
    </row>
    <row r="25" spans="2:12">
      <c r="B25" s="421"/>
      <c r="C25" s="434"/>
      <c r="H25" s="431"/>
      <c r="I25" s="436"/>
      <c r="J25" s="832" t="s">
        <v>353</v>
      </c>
      <c r="K25" s="440">
        <f>SUM(K20:K24)</f>
        <v>15500000</v>
      </c>
      <c r="L25" s="818"/>
    </row>
    <row r="26" spans="2:12">
      <c r="B26" s="428" t="s">
        <v>354</v>
      </c>
      <c r="C26" s="429" t="s">
        <v>1012</v>
      </c>
      <c r="D26" s="816"/>
      <c r="E26" s="816"/>
      <c r="F26" s="816"/>
      <c r="G26" s="816"/>
      <c r="H26" s="431"/>
      <c r="I26" s="436"/>
      <c r="J26" s="825"/>
      <c r="K26" s="437"/>
    </row>
    <row r="27" spans="2:12">
      <c r="B27" s="421">
        <v>1</v>
      </c>
      <c r="C27" s="1114" t="str">
        <f>[80]Sheet1!$B$14</f>
        <v>Cctv indoor</v>
      </c>
      <c r="H27" s="272" t="s">
        <v>392</v>
      </c>
      <c r="I27" s="436">
        <v>1</v>
      </c>
      <c r="J27" s="825">
        <f>[80]Sheet1!$D$14</f>
        <v>3500000</v>
      </c>
      <c r="K27" s="437">
        <f>I27*J27</f>
        <v>3500000</v>
      </c>
    </row>
    <row r="28" spans="2:12">
      <c r="B28" s="421">
        <f>B27+1</f>
        <v>2</v>
      </c>
      <c r="C28" s="1114" t="str">
        <f>[80]Sheet1!$B$15</f>
        <v>Cctv outdoor</v>
      </c>
      <c r="H28" s="272" t="s">
        <v>392</v>
      </c>
      <c r="I28" s="453">
        <v>1</v>
      </c>
      <c r="J28" s="825">
        <f>[80]Sheet1!$D$15</f>
        <v>3500000</v>
      </c>
      <c r="K28" s="437">
        <f>I28*J28</f>
        <v>3500000</v>
      </c>
    </row>
    <row r="29" spans="2:12">
      <c r="B29" s="421">
        <f>B28+1</f>
        <v>3</v>
      </c>
      <c r="C29" s="1114" t="str">
        <f>[80]Sheet1!$B$16</f>
        <v>DVR</v>
      </c>
      <c r="H29" s="272" t="s">
        <v>392</v>
      </c>
      <c r="I29" s="453">
        <v>1</v>
      </c>
      <c r="J29" s="825">
        <f>[80]Sheet1!$D$16</f>
        <v>5000000</v>
      </c>
      <c r="K29" s="437">
        <f>I29*J29</f>
        <v>5000000</v>
      </c>
      <c r="L29" s="819"/>
    </row>
    <row r="30" spans="2:12">
      <c r="B30" s="421">
        <f t="shared" ref="B30:B34" si="2">B29+1</f>
        <v>4</v>
      </c>
      <c r="C30" s="1114" t="str">
        <f>[80]Sheet1!$B$17</f>
        <v>Adapter dan Power Supply.</v>
      </c>
      <c r="H30" s="272" t="s">
        <v>392</v>
      </c>
      <c r="I30" s="453">
        <v>1</v>
      </c>
      <c r="J30" s="825">
        <f>[80]Sheet1!$D$17</f>
        <v>900000</v>
      </c>
      <c r="K30" s="437">
        <f t="shared" ref="K30:K34" si="3">I30*J30</f>
        <v>900000</v>
      </c>
      <c r="L30" s="819"/>
    </row>
    <row r="31" spans="2:12">
      <c r="B31" s="421">
        <f t="shared" si="2"/>
        <v>5</v>
      </c>
      <c r="C31" s="1114" t="str">
        <f>[80]Sheet1!$B$18</f>
        <v>Kabel Power.</v>
      </c>
      <c r="H31" s="272" t="s">
        <v>1006</v>
      </c>
      <c r="I31" s="453">
        <v>1</v>
      </c>
      <c r="J31" s="825">
        <f>[80]Sheet1!$D$18</f>
        <v>1000000</v>
      </c>
      <c r="K31" s="437">
        <f t="shared" si="3"/>
        <v>1000000</v>
      </c>
      <c r="L31" s="819"/>
    </row>
    <row r="32" spans="2:12">
      <c r="B32" s="421">
        <f t="shared" si="2"/>
        <v>6</v>
      </c>
      <c r="C32" s="1114" t="str">
        <f>[80]Sheet1!$B$19</f>
        <v>Crimp Kabel.</v>
      </c>
      <c r="H32" s="272" t="s">
        <v>392</v>
      </c>
      <c r="I32" s="453">
        <v>1</v>
      </c>
      <c r="J32" s="825">
        <f>[80]Sheet1!$D$19</f>
        <v>2000000</v>
      </c>
      <c r="K32" s="437">
        <f t="shared" si="3"/>
        <v>2000000</v>
      </c>
      <c r="L32" s="819"/>
    </row>
    <row r="33" spans="2:16">
      <c r="B33" s="421">
        <f t="shared" si="2"/>
        <v>7</v>
      </c>
      <c r="C33" s="1114" t="str">
        <f>[80]Sheet1!$B$20</f>
        <v>Kabel Coaxial.</v>
      </c>
      <c r="H33" s="272" t="s">
        <v>1006</v>
      </c>
      <c r="I33" s="453">
        <v>1</v>
      </c>
      <c r="J33" s="825">
        <f>[80]Sheet1!$D$20</f>
        <v>3500000</v>
      </c>
      <c r="K33" s="437">
        <f t="shared" si="3"/>
        <v>3500000</v>
      </c>
      <c r="L33" s="819"/>
    </row>
    <row r="34" spans="2:16">
      <c r="B34" s="421">
        <f t="shared" si="2"/>
        <v>8</v>
      </c>
      <c r="C34" s="1114" t="str">
        <f>[80]Sheet1!$B$21</f>
        <v>Konektor RF.</v>
      </c>
      <c r="H34" s="272" t="s">
        <v>1013</v>
      </c>
      <c r="I34" s="453">
        <v>1</v>
      </c>
      <c r="J34" s="825">
        <f>[80]Sheet1!$D$21</f>
        <v>1000000</v>
      </c>
      <c r="K34" s="437">
        <f t="shared" si="3"/>
        <v>1000000</v>
      </c>
      <c r="L34" s="819"/>
    </row>
    <row r="35" spans="2:16">
      <c r="B35" s="421"/>
      <c r="C35" s="434"/>
      <c r="H35" s="431"/>
      <c r="I35" s="444"/>
      <c r="J35" s="832" t="s">
        <v>358</v>
      </c>
      <c r="K35" s="440">
        <f>SUM(K27:K34)</f>
        <v>20400000</v>
      </c>
      <c r="L35" s="818"/>
    </row>
    <row r="36" spans="2:16">
      <c r="B36" s="428" t="s">
        <v>359</v>
      </c>
      <c r="C36" s="568" t="s">
        <v>1008</v>
      </c>
      <c r="D36" s="816"/>
      <c r="E36" s="816"/>
      <c r="F36" s="816"/>
      <c r="G36" s="816"/>
      <c r="H36" s="431"/>
      <c r="I36" s="444"/>
      <c r="J36" s="825"/>
      <c r="K36" s="437"/>
    </row>
    <row r="37" spans="2:16">
      <c r="B37" s="421">
        <v>1</v>
      </c>
      <c r="C37" s="1114" t="str">
        <f>[80]Sheet1!$B$23</f>
        <v>Acess Point</v>
      </c>
      <c r="H37" s="272" t="s">
        <v>392</v>
      </c>
      <c r="I37" s="445">
        <v>1</v>
      </c>
      <c r="J37" s="826">
        <f>[80]Sheet1!$D$23</f>
        <v>8500000</v>
      </c>
      <c r="K37" s="437">
        <f>I37*J37</f>
        <v>8500000</v>
      </c>
    </row>
    <row r="38" spans="2:16">
      <c r="B38" s="421">
        <f>B37+1</f>
        <v>2</v>
      </c>
      <c r="C38" s="1114" t="str">
        <f>[80]Sheet1!$B$24</f>
        <v>Antena Omni</v>
      </c>
      <c r="H38" s="272" t="s">
        <v>392</v>
      </c>
      <c r="I38" s="445">
        <v>1</v>
      </c>
      <c r="J38" s="826">
        <f>[80]Sheet1!$D$24</f>
        <v>10000000</v>
      </c>
      <c r="K38" s="437">
        <f>I38*J38</f>
        <v>10000000</v>
      </c>
    </row>
    <row r="39" spans="2:16">
      <c r="B39" s="421">
        <f t="shared" ref="B39:B42" si="4">B38+1</f>
        <v>3</v>
      </c>
      <c r="C39" s="1114" t="str">
        <f>[80]Sheet1!$B$25</f>
        <v>Kabel Pigtail/Kabel Jumper</v>
      </c>
      <c r="H39" s="272" t="s">
        <v>1006</v>
      </c>
      <c r="I39" s="445">
        <v>1</v>
      </c>
      <c r="J39" s="826">
        <f>[80]Sheet1!$D$25</f>
        <v>500000</v>
      </c>
      <c r="K39" s="437">
        <f t="shared" ref="K39:K42" si="5">I39*J39</f>
        <v>500000</v>
      </c>
    </row>
    <row r="40" spans="2:16">
      <c r="B40" s="421">
        <f t="shared" si="4"/>
        <v>4</v>
      </c>
      <c r="C40" s="1114" t="str">
        <f>[80]Sheet1!$B$26</f>
        <v>POE (Power Over Ethernet)</v>
      </c>
      <c r="H40" s="272" t="s">
        <v>392</v>
      </c>
      <c r="I40" s="445">
        <v>1</v>
      </c>
      <c r="J40" s="826">
        <f>[80]Sheet1!$D$26</f>
        <v>2000000</v>
      </c>
      <c r="K40" s="437">
        <f t="shared" si="5"/>
        <v>2000000</v>
      </c>
    </row>
    <row r="41" spans="2:16">
      <c r="B41" s="421">
        <f t="shared" si="4"/>
        <v>5</v>
      </c>
      <c r="C41" s="1114" t="str">
        <f>[80]Sheet1!$B$27</f>
        <v>Kabel UTP/STP</v>
      </c>
      <c r="H41" s="272" t="s">
        <v>1006</v>
      </c>
      <c r="I41" s="445">
        <v>1</v>
      </c>
      <c r="J41" s="826">
        <f>[80]Sheet1!$D$27</f>
        <v>3000000</v>
      </c>
      <c r="K41" s="437">
        <f t="shared" si="5"/>
        <v>3000000</v>
      </c>
    </row>
    <row r="42" spans="2:16">
      <c r="B42" s="421">
        <f t="shared" si="4"/>
        <v>6</v>
      </c>
      <c r="C42" s="1114" t="str">
        <f>[80]Sheet1!$B$28</f>
        <v>Penangkal Petir (Lightning Arrester)</v>
      </c>
      <c r="H42" s="272" t="s">
        <v>392</v>
      </c>
      <c r="I42" s="445">
        <v>1</v>
      </c>
      <c r="J42" s="826">
        <f>[80]Sheet1!$D$28</f>
        <v>3000000</v>
      </c>
      <c r="K42" s="437">
        <f t="shared" si="5"/>
        <v>3000000</v>
      </c>
    </row>
    <row r="43" spans="2:16">
      <c r="B43" s="421"/>
      <c r="C43" s="434"/>
      <c r="H43" s="431"/>
      <c r="I43" s="444"/>
      <c r="J43" s="832" t="s">
        <v>361</v>
      </c>
      <c r="K43" s="440">
        <f>SUM(K37:K42)</f>
        <v>27000000</v>
      </c>
      <c r="L43" s="817"/>
    </row>
    <row r="44" spans="2:16">
      <c r="B44" s="428" t="s">
        <v>362</v>
      </c>
      <c r="C44" s="568" t="s">
        <v>1009</v>
      </c>
      <c r="D44" s="816"/>
      <c r="E44" s="816"/>
      <c r="F44" s="816"/>
      <c r="G44" s="816"/>
      <c r="H44" s="431"/>
      <c r="I44" s="444"/>
      <c r="J44" s="825"/>
      <c r="K44" s="437"/>
      <c r="L44" s="818"/>
    </row>
    <row r="45" spans="2:16">
      <c r="B45" s="421">
        <v>1</v>
      </c>
      <c r="C45" s="1114" t="str">
        <f>[80]Sheet1!$B$37</f>
        <v>Rumah Kabel</v>
      </c>
      <c r="H45" s="272" t="s">
        <v>1014</v>
      </c>
      <c r="I45" s="447">
        <v>1</v>
      </c>
      <c r="J45" s="825">
        <f>[80]Sheet1!$D$37</f>
        <v>1500000</v>
      </c>
      <c r="K45" s="437">
        <f>I45*J45</f>
        <v>1500000</v>
      </c>
    </row>
    <row r="46" spans="2:16">
      <c r="B46" s="421">
        <f>B45+1</f>
        <v>2</v>
      </c>
      <c r="C46" s="1114" t="str">
        <f>[80]Sheet1!$B$38</f>
        <v>paku-paku &amp; Klem</v>
      </c>
      <c r="H46" s="272" t="s">
        <v>1015</v>
      </c>
      <c r="I46" s="436">
        <v>1</v>
      </c>
      <c r="J46" s="825">
        <f>[80]Sheet1!$D$38</f>
        <v>2000000</v>
      </c>
      <c r="K46" s="437">
        <f>I46*J46</f>
        <v>2000000</v>
      </c>
    </row>
    <row r="47" spans="2:16">
      <c r="B47" s="421"/>
      <c r="C47" s="434"/>
      <c r="H47" s="431"/>
      <c r="I47" s="444"/>
      <c r="J47" s="825"/>
      <c r="K47" s="437"/>
    </row>
    <row r="48" spans="2:16">
      <c r="B48" s="421"/>
      <c r="C48" s="434"/>
      <c r="H48" s="431"/>
      <c r="I48" s="444"/>
      <c r="J48" s="832" t="s">
        <v>365</v>
      </c>
      <c r="K48" s="440">
        <f>SUM(K45:K46)</f>
        <v>3500000</v>
      </c>
      <c r="L48" s="817"/>
      <c r="P48" s="818"/>
    </row>
    <row r="49" spans="2:12">
      <c r="B49" s="449" t="s">
        <v>366</v>
      </c>
      <c r="C49" s="429" t="s">
        <v>1010</v>
      </c>
      <c r="D49" s="816"/>
      <c r="E49" s="816"/>
      <c r="F49" s="816"/>
      <c r="G49" s="816"/>
      <c r="H49" s="431"/>
      <c r="I49" s="444"/>
      <c r="J49" s="825"/>
      <c r="K49" s="437"/>
    </row>
    <row r="50" spans="2:12">
      <c r="B50" s="421">
        <v>1</v>
      </c>
      <c r="C50" s="434" t="str">
        <f>[80]Sheet1!$B$30</f>
        <v>Kabel Telepon outdoor</v>
      </c>
      <c r="H50" s="272" t="s">
        <v>1006</v>
      </c>
      <c r="I50" s="436">
        <v>1</v>
      </c>
      <c r="J50" s="825">
        <f>[80]Sheet1!$D$30</f>
        <v>4500000</v>
      </c>
      <c r="K50" s="437">
        <f>I50*J50</f>
        <v>4500000</v>
      </c>
    </row>
    <row r="51" spans="2:12">
      <c r="B51" s="421">
        <f>B50+1</f>
        <v>2</v>
      </c>
      <c r="C51" s="1114" t="str">
        <f>[80]Sheet1!$B$31</f>
        <v>Kabel Telepon Indoor</v>
      </c>
      <c r="H51" s="272" t="s">
        <v>1006</v>
      </c>
      <c r="I51" s="436">
        <v>1</v>
      </c>
      <c r="J51" s="825">
        <f>[80]Sheet1!$D$31</f>
        <v>4000000</v>
      </c>
      <c r="K51" s="437">
        <f>I51*J51</f>
        <v>4000000</v>
      </c>
    </row>
    <row r="52" spans="2:12">
      <c r="B52" s="421">
        <f>B51+1</f>
        <v>3</v>
      </c>
      <c r="C52" s="1114" t="str">
        <f>[80]Sheet1!$B$32</f>
        <v>Box Telepon Konektor</v>
      </c>
      <c r="H52" s="272" t="s">
        <v>392</v>
      </c>
      <c r="I52" s="436">
        <v>1</v>
      </c>
      <c r="J52" s="825">
        <f>[80]Sheet1!$D$32</f>
        <v>6500000</v>
      </c>
      <c r="K52" s="437">
        <f>I52*J52</f>
        <v>6500000</v>
      </c>
    </row>
    <row r="53" spans="2:12">
      <c r="B53" s="421">
        <f t="shared" ref="B53:B55" si="6">B52+1</f>
        <v>4</v>
      </c>
      <c r="C53" s="1114" t="str">
        <f>[80]Sheet1!$B$33</f>
        <v>Kabel Protection ( Ugreen Cable Zipper Protection )</v>
      </c>
      <c r="H53" s="272" t="s">
        <v>813</v>
      </c>
      <c r="I53" s="436">
        <v>1</v>
      </c>
      <c r="J53" s="825">
        <f>[80]Sheet1!$D$33</f>
        <v>200000</v>
      </c>
      <c r="K53" s="437">
        <f t="shared" ref="K53:K55" si="7">I53*J53</f>
        <v>200000</v>
      </c>
    </row>
    <row r="54" spans="2:12">
      <c r="B54" s="421">
        <f t="shared" si="6"/>
        <v>5</v>
      </c>
      <c r="C54" s="1114" t="str">
        <f>[80]Sheet1!$B$34</f>
        <v>Paku Klem</v>
      </c>
      <c r="H54" s="272" t="s">
        <v>1015</v>
      </c>
      <c r="I54" s="436">
        <v>1</v>
      </c>
      <c r="J54" s="825">
        <f>[80]Sheet1!$D$34</f>
        <v>500000</v>
      </c>
      <c r="K54" s="437">
        <f t="shared" si="7"/>
        <v>500000</v>
      </c>
    </row>
    <row r="55" spans="2:12">
      <c r="B55" s="421">
        <f t="shared" si="6"/>
        <v>6</v>
      </c>
      <c r="C55" s="1114" t="str">
        <f>[80]Sheet1!$B$35</f>
        <v>Peralatan kerja pabx</v>
      </c>
      <c r="H55" s="272" t="s">
        <v>392</v>
      </c>
      <c r="I55" s="436">
        <v>1</v>
      </c>
      <c r="J55" s="825">
        <f>[80]Sheet1!$D$35</f>
        <v>2000000</v>
      </c>
      <c r="K55" s="437">
        <f t="shared" si="7"/>
        <v>2000000</v>
      </c>
    </row>
    <row r="56" spans="2:12">
      <c r="B56" s="421"/>
      <c r="C56" s="434"/>
      <c r="H56" s="431"/>
      <c r="I56" s="444"/>
      <c r="J56" s="832" t="s">
        <v>368</v>
      </c>
      <c r="K56" s="440">
        <f>SUM(K50:K55)</f>
        <v>17700000</v>
      </c>
      <c r="L56" s="818"/>
    </row>
    <row r="57" spans="2:12">
      <c r="B57" s="421"/>
      <c r="C57" s="434"/>
      <c r="H57" s="431"/>
      <c r="I57" s="444"/>
      <c r="J57" s="825"/>
      <c r="K57" s="440"/>
    </row>
    <row r="58" spans="2:12">
      <c r="B58" s="428" t="s">
        <v>369</v>
      </c>
      <c r="C58" s="429" t="s">
        <v>62</v>
      </c>
      <c r="D58" s="816"/>
      <c r="E58" s="816"/>
      <c r="F58" s="816"/>
      <c r="G58" s="816"/>
      <c r="H58" s="431"/>
      <c r="I58" s="444"/>
      <c r="J58" s="825"/>
      <c r="K58" s="437"/>
    </row>
    <row r="59" spans="2:12">
      <c r="B59" s="438">
        <v>1</v>
      </c>
      <c r="C59" s="434"/>
      <c r="H59" s="431"/>
      <c r="I59" s="436">
        <v>0</v>
      </c>
      <c r="J59" s="825">
        <v>0</v>
      </c>
      <c r="K59" s="437">
        <f>I59*J59</f>
        <v>0</v>
      </c>
      <c r="L59" s="820"/>
    </row>
    <row r="60" spans="2:12">
      <c r="B60" s="421"/>
      <c r="C60" s="434"/>
      <c r="H60" s="431"/>
      <c r="I60" s="436"/>
      <c r="J60" s="825"/>
      <c r="K60" s="437"/>
    </row>
    <row r="61" spans="2:12">
      <c r="B61" s="421"/>
      <c r="C61" s="434"/>
      <c r="H61" s="431"/>
      <c r="I61" s="444"/>
      <c r="J61" s="832" t="s">
        <v>371</v>
      </c>
      <c r="K61" s="440">
        <f>SUM(K59:K59)</f>
        <v>0</v>
      </c>
      <c r="L61" s="818"/>
    </row>
    <row r="62" spans="2:12">
      <c r="B62" s="449" t="s">
        <v>372</v>
      </c>
      <c r="C62" s="429" t="s">
        <v>62</v>
      </c>
      <c r="D62" s="816"/>
      <c r="E62" s="816"/>
      <c r="F62" s="816"/>
      <c r="G62" s="816"/>
      <c r="H62" s="431"/>
      <c r="I62" s="444"/>
      <c r="J62" s="825"/>
      <c r="K62" s="437"/>
    </row>
    <row r="63" spans="2:12">
      <c r="B63" s="421">
        <v>1</v>
      </c>
      <c r="C63" s="434"/>
      <c r="H63" s="431"/>
      <c r="I63" s="436">
        <v>0</v>
      </c>
      <c r="J63" s="825">
        <v>0</v>
      </c>
      <c r="K63" s="437">
        <f t="shared" ref="K63:K68" si="8">I63*J63</f>
        <v>0</v>
      </c>
    </row>
    <row r="64" spans="2:12">
      <c r="B64" s="421">
        <f>B63+1</f>
        <v>2</v>
      </c>
      <c r="C64" s="434"/>
      <c r="H64" s="431"/>
      <c r="I64" s="436">
        <v>0</v>
      </c>
      <c r="J64" s="825">
        <v>0</v>
      </c>
      <c r="K64" s="437">
        <f t="shared" si="8"/>
        <v>0</v>
      </c>
    </row>
    <row r="65" spans="2:17">
      <c r="B65" s="421">
        <f>B64+1</f>
        <v>3</v>
      </c>
      <c r="C65" s="450"/>
      <c r="D65" s="820"/>
      <c r="E65" s="820"/>
      <c r="F65" s="820"/>
      <c r="G65" s="820"/>
      <c r="H65" s="431"/>
      <c r="I65" s="436">
        <v>0</v>
      </c>
      <c r="J65" s="825">
        <v>0</v>
      </c>
      <c r="K65" s="437">
        <f t="shared" si="8"/>
        <v>0</v>
      </c>
    </row>
    <row r="66" spans="2:17">
      <c r="B66" s="421">
        <f>B65+1</f>
        <v>4</v>
      </c>
      <c r="C66" s="450"/>
      <c r="D66" s="820"/>
      <c r="E66" s="820"/>
      <c r="F66" s="820"/>
      <c r="G66" s="820"/>
      <c r="H66" s="431"/>
      <c r="I66" s="436">
        <v>0</v>
      </c>
      <c r="J66" s="825">
        <v>0</v>
      </c>
      <c r="K66" s="437">
        <f t="shared" si="8"/>
        <v>0</v>
      </c>
    </row>
    <row r="67" spans="2:17">
      <c r="B67" s="421">
        <f>B66+1</f>
        <v>5</v>
      </c>
      <c r="C67" s="450"/>
      <c r="D67" s="820"/>
      <c r="E67" s="820"/>
      <c r="F67" s="820"/>
      <c r="G67" s="820"/>
      <c r="H67" s="431"/>
      <c r="I67" s="436">
        <v>0</v>
      </c>
      <c r="J67" s="825">
        <v>0</v>
      </c>
      <c r="K67" s="437">
        <f t="shared" si="8"/>
        <v>0</v>
      </c>
    </row>
    <row r="68" spans="2:17">
      <c r="B68" s="421"/>
      <c r="C68" s="434"/>
      <c r="H68" s="431"/>
      <c r="I68" s="444"/>
      <c r="J68" s="825"/>
      <c r="K68" s="437">
        <f t="shared" si="8"/>
        <v>0</v>
      </c>
    </row>
    <row r="69" spans="2:17">
      <c r="B69" s="421"/>
      <c r="C69" s="434"/>
      <c r="H69" s="431"/>
      <c r="I69" s="444"/>
      <c r="J69" s="832" t="s">
        <v>377</v>
      </c>
      <c r="K69" s="440">
        <f>SUM(K63:K68)</f>
        <v>0</v>
      </c>
      <c r="L69" s="818"/>
    </row>
    <row r="70" spans="2:17">
      <c r="B70" s="428" t="s">
        <v>378</v>
      </c>
      <c r="C70" s="429" t="s">
        <v>62</v>
      </c>
      <c r="D70" s="816"/>
      <c r="E70" s="816"/>
      <c r="F70" s="816"/>
      <c r="G70" s="816"/>
      <c r="H70" s="431"/>
      <c r="I70" s="436"/>
      <c r="J70" s="825"/>
      <c r="K70" s="440"/>
      <c r="L70" s="818"/>
    </row>
    <row r="71" spans="2:17">
      <c r="B71" s="421">
        <v>1</v>
      </c>
      <c r="C71" s="434"/>
      <c r="H71" s="431"/>
      <c r="I71" s="436">
        <v>0</v>
      </c>
      <c r="J71" s="825">
        <v>0</v>
      </c>
      <c r="K71" s="437">
        <f>I71*J71</f>
        <v>0</v>
      </c>
      <c r="L71" s="818"/>
    </row>
    <row r="72" spans="2:17">
      <c r="B72" s="421">
        <f>B71+1</f>
        <v>2</v>
      </c>
      <c r="C72" s="434"/>
      <c r="H72" s="431"/>
      <c r="I72" s="436">
        <v>0</v>
      </c>
      <c r="J72" s="825">
        <v>0</v>
      </c>
      <c r="K72" s="437">
        <f>I72*J72</f>
        <v>0</v>
      </c>
      <c r="L72" s="818"/>
    </row>
    <row r="73" spans="2:17">
      <c r="B73" s="421">
        <f>B72+1</f>
        <v>3</v>
      </c>
      <c r="C73" s="434"/>
      <c r="H73" s="431"/>
      <c r="I73" s="436">
        <v>0</v>
      </c>
      <c r="J73" s="825">
        <v>0</v>
      </c>
      <c r="K73" s="437">
        <f>I73*J73</f>
        <v>0</v>
      </c>
      <c r="L73" s="818"/>
    </row>
    <row r="74" spans="2:17">
      <c r="B74" s="421"/>
      <c r="C74" s="434"/>
      <c r="H74" s="431"/>
      <c r="I74" s="436"/>
      <c r="J74" s="825"/>
      <c r="K74" s="437"/>
      <c r="L74" s="818"/>
    </row>
    <row r="75" spans="2:17">
      <c r="B75" s="421"/>
      <c r="C75" s="434"/>
      <c r="H75" s="431"/>
      <c r="I75" s="444"/>
      <c r="J75" s="832" t="s">
        <v>383</v>
      </c>
      <c r="K75" s="440">
        <f>SUM(K71:K73)</f>
        <v>0</v>
      </c>
      <c r="L75" s="818"/>
    </row>
    <row r="76" spans="2:17">
      <c r="B76" s="428" t="s">
        <v>33</v>
      </c>
      <c r="C76" s="429" t="s">
        <v>62</v>
      </c>
      <c r="D76" s="816"/>
      <c r="E76" s="816"/>
      <c r="F76" s="816"/>
      <c r="G76" s="816"/>
      <c r="H76" s="431"/>
      <c r="I76" s="444"/>
      <c r="J76" s="825"/>
      <c r="K76" s="437"/>
    </row>
    <row r="77" spans="2:17">
      <c r="B77" s="421">
        <v>1</v>
      </c>
      <c r="C77" s="434"/>
      <c r="H77" s="431"/>
      <c r="I77" s="436">
        <v>0</v>
      </c>
      <c r="J77" s="825">
        <v>0</v>
      </c>
      <c r="K77" s="437">
        <f>I77*J77</f>
        <v>0</v>
      </c>
    </row>
    <row r="78" spans="2:17">
      <c r="B78" s="421">
        <v>2</v>
      </c>
      <c r="C78" s="434"/>
      <c r="H78" s="431"/>
      <c r="I78" s="436">
        <v>0</v>
      </c>
      <c r="J78" s="825">
        <v>0</v>
      </c>
      <c r="K78" s="437">
        <f>I78*J78</f>
        <v>0</v>
      </c>
    </row>
    <row r="79" spans="2:17">
      <c r="B79" s="421"/>
      <c r="C79" s="434"/>
      <c r="H79" s="431"/>
      <c r="I79" s="444"/>
      <c r="J79" s="825"/>
      <c r="K79" s="437"/>
    </row>
    <row r="80" spans="2:17">
      <c r="B80" s="421"/>
      <c r="C80" s="434"/>
      <c r="H80" s="431"/>
      <c r="I80" s="444"/>
      <c r="J80" s="832" t="s">
        <v>388</v>
      </c>
      <c r="K80" s="440">
        <f>SUM(K77:K79)</f>
        <v>0</v>
      </c>
      <c r="L80" s="817"/>
      <c r="M80" s="818"/>
      <c r="N80" s="818"/>
      <c r="Q80" s="818">
        <f>K80</f>
        <v>0</v>
      </c>
    </row>
    <row r="81" spans="1:12">
      <c r="A81" s="820"/>
      <c r="B81" s="428" t="s">
        <v>34</v>
      </c>
      <c r="C81" s="429" t="s">
        <v>62</v>
      </c>
      <c r="D81" s="816"/>
      <c r="E81" s="816"/>
      <c r="F81" s="816"/>
      <c r="G81" s="816"/>
      <c r="H81" s="431"/>
      <c r="I81" s="444"/>
      <c r="J81" s="825"/>
      <c r="K81" s="437"/>
    </row>
    <row r="82" spans="1:12">
      <c r="B82" s="421">
        <v>1</v>
      </c>
      <c r="C82" s="434"/>
      <c r="H82" s="431"/>
      <c r="I82" s="436">
        <v>0</v>
      </c>
      <c r="J82" s="825">
        <v>0</v>
      </c>
      <c r="K82" s="437">
        <f t="shared" ref="K82:K85" si="9">I82*J82</f>
        <v>0</v>
      </c>
    </row>
    <row r="83" spans="1:12">
      <c r="B83" s="421">
        <f>B82+1</f>
        <v>2</v>
      </c>
      <c r="C83" s="434"/>
      <c r="H83" s="431"/>
      <c r="I83" s="436">
        <v>0</v>
      </c>
      <c r="J83" s="825">
        <v>0</v>
      </c>
      <c r="K83" s="437">
        <f t="shared" si="9"/>
        <v>0</v>
      </c>
    </row>
    <row r="84" spans="1:12">
      <c r="B84" s="421">
        <f t="shared" ref="B84:B85" si="10">B83+1</f>
        <v>3</v>
      </c>
      <c r="C84" s="434"/>
      <c r="H84" s="431"/>
      <c r="I84" s="436">
        <v>0</v>
      </c>
      <c r="J84" s="825">
        <v>0</v>
      </c>
      <c r="K84" s="437">
        <f t="shared" si="9"/>
        <v>0</v>
      </c>
    </row>
    <row r="85" spans="1:12">
      <c r="B85" s="421">
        <f t="shared" si="10"/>
        <v>4</v>
      </c>
      <c r="C85" s="434"/>
      <c r="H85" s="431"/>
      <c r="I85" s="436">
        <v>0</v>
      </c>
      <c r="J85" s="825">
        <v>0</v>
      </c>
      <c r="K85" s="437">
        <f t="shared" si="9"/>
        <v>0</v>
      </c>
    </row>
    <row r="86" spans="1:12">
      <c r="B86" s="421"/>
      <c r="C86" s="434"/>
      <c r="H86" s="431"/>
      <c r="I86" s="436"/>
      <c r="J86" s="825"/>
      <c r="K86" s="437"/>
    </row>
    <row r="87" spans="1:12">
      <c r="B87" s="421"/>
      <c r="C87" s="434"/>
      <c r="H87" s="431"/>
      <c r="I87" s="436"/>
      <c r="J87" s="832" t="s">
        <v>394</v>
      </c>
      <c r="K87" s="440">
        <f>SUM(K82:K85)</f>
        <v>0</v>
      </c>
      <c r="L87" s="818"/>
    </row>
    <row r="88" spans="1:12">
      <c r="B88" s="428" t="s">
        <v>36</v>
      </c>
      <c r="C88" s="429" t="s">
        <v>62</v>
      </c>
      <c r="D88" s="816"/>
      <c r="E88" s="816"/>
      <c r="F88" s="816"/>
      <c r="G88" s="816"/>
      <c r="H88" s="431"/>
      <c r="I88" s="436"/>
      <c r="J88" s="825"/>
      <c r="K88" s="437"/>
    </row>
    <row r="89" spans="1:12">
      <c r="B89" s="421">
        <v>1</v>
      </c>
      <c r="C89" s="434"/>
      <c r="H89" s="431"/>
      <c r="I89" s="436">
        <v>0</v>
      </c>
      <c r="J89" s="825">
        <v>0</v>
      </c>
      <c r="K89" s="437">
        <f>I89*J89</f>
        <v>0</v>
      </c>
    </row>
    <row r="90" spans="1:12">
      <c r="B90" s="421">
        <v>2</v>
      </c>
      <c r="C90" s="434"/>
      <c r="H90" s="431"/>
      <c r="I90" s="436">
        <v>0</v>
      </c>
      <c r="J90" s="825">
        <v>0</v>
      </c>
      <c r="K90" s="437">
        <f>I90*J90</f>
        <v>0</v>
      </c>
    </row>
    <row r="91" spans="1:12">
      <c r="B91" s="421">
        <v>3</v>
      </c>
      <c r="C91" s="434"/>
      <c r="H91" s="431"/>
      <c r="I91" s="436">
        <v>0</v>
      </c>
      <c r="J91" s="825">
        <v>0</v>
      </c>
      <c r="K91" s="437">
        <f>I91*J91</f>
        <v>0</v>
      </c>
    </row>
    <row r="92" spans="1:12">
      <c r="B92" s="421"/>
      <c r="C92" s="434"/>
      <c r="H92" s="431"/>
      <c r="I92" s="436"/>
      <c r="J92" s="825"/>
      <c r="K92" s="437"/>
    </row>
    <row r="93" spans="1:12">
      <c r="B93" s="421"/>
      <c r="C93" s="434" t="s">
        <v>652</v>
      </c>
      <c r="H93" s="431"/>
      <c r="I93" s="829"/>
      <c r="J93" s="832" t="s">
        <v>500</v>
      </c>
      <c r="K93" s="440">
        <f>SUM(K89:K92)</f>
        <v>0</v>
      </c>
      <c r="L93" s="818"/>
    </row>
    <row r="94" spans="1:12">
      <c r="B94" s="428" t="s">
        <v>37</v>
      </c>
      <c r="C94" s="429" t="s">
        <v>62</v>
      </c>
      <c r="D94" s="816"/>
      <c r="E94" s="816"/>
      <c r="F94" s="816"/>
      <c r="G94" s="816"/>
      <c r="H94" s="431"/>
      <c r="I94" s="444"/>
      <c r="J94" s="825"/>
      <c r="K94" s="437"/>
    </row>
    <row r="95" spans="1:12">
      <c r="B95" s="421">
        <v>1</v>
      </c>
      <c r="C95" s="434"/>
      <c r="H95" s="431"/>
      <c r="I95" s="436">
        <v>0</v>
      </c>
      <c r="J95" s="825">
        <v>0</v>
      </c>
      <c r="K95" s="437">
        <f t="shared" ref="K95:K99" si="11">I95*J95</f>
        <v>0</v>
      </c>
    </row>
    <row r="96" spans="1:12">
      <c r="B96" s="421">
        <f>B95+1</f>
        <v>2</v>
      </c>
      <c r="C96" s="434"/>
      <c r="H96" s="431"/>
      <c r="I96" s="436">
        <v>0</v>
      </c>
      <c r="J96" s="825">
        <v>0</v>
      </c>
      <c r="K96" s="437">
        <f t="shared" si="11"/>
        <v>0</v>
      </c>
    </row>
    <row r="97" spans="2:12">
      <c r="B97" s="421">
        <f>B96+1</f>
        <v>3</v>
      </c>
      <c r="C97" s="434"/>
      <c r="H97" s="431"/>
      <c r="I97" s="436">
        <v>0</v>
      </c>
      <c r="J97" s="825">
        <v>0</v>
      </c>
      <c r="K97" s="437">
        <f t="shared" si="11"/>
        <v>0</v>
      </c>
    </row>
    <row r="98" spans="2:12">
      <c r="B98" s="421">
        <f>B97+1</f>
        <v>4</v>
      </c>
      <c r="C98" s="434"/>
      <c r="H98" s="431"/>
      <c r="I98" s="436">
        <v>0</v>
      </c>
      <c r="J98" s="825">
        <v>0</v>
      </c>
      <c r="K98" s="437">
        <f t="shared" si="11"/>
        <v>0</v>
      </c>
    </row>
    <row r="99" spans="2:12">
      <c r="B99" s="421">
        <f>B98+1</f>
        <v>5</v>
      </c>
      <c r="C99" s="434"/>
      <c r="H99" s="431"/>
      <c r="I99" s="436">
        <v>0</v>
      </c>
      <c r="J99" s="825">
        <v>0</v>
      </c>
      <c r="K99" s="437">
        <f t="shared" si="11"/>
        <v>0</v>
      </c>
    </row>
    <row r="100" spans="2:12">
      <c r="B100" s="421"/>
      <c r="C100" s="434"/>
      <c r="H100" s="431"/>
      <c r="I100" s="436"/>
      <c r="J100" s="825"/>
      <c r="K100" s="437"/>
    </row>
    <row r="101" spans="2:12">
      <c r="B101" s="421"/>
      <c r="C101" s="434"/>
      <c r="H101" s="431"/>
      <c r="I101" s="436"/>
      <c r="J101" s="832" t="s">
        <v>501</v>
      </c>
      <c r="K101" s="440">
        <f>SUM(K95:K99)</f>
        <v>0</v>
      </c>
      <c r="L101" s="818"/>
    </row>
    <row r="102" spans="2:12" ht="16.5" thickBot="1">
      <c r="B102" s="459"/>
      <c r="C102" s="460"/>
      <c r="D102" s="461"/>
      <c r="E102" s="461"/>
      <c r="F102" s="461"/>
      <c r="G102" s="461"/>
      <c r="H102" s="833"/>
      <c r="I102" s="464"/>
      <c r="J102" s="834"/>
      <c r="K102" s="466"/>
      <c r="L102" s="818"/>
    </row>
    <row r="103" spans="2:12">
      <c r="B103" s="421"/>
      <c r="C103" s="434"/>
      <c r="H103" s="431"/>
      <c r="I103" s="436"/>
      <c r="J103" s="832"/>
      <c r="K103" s="440"/>
      <c r="L103" s="818"/>
    </row>
    <row r="104" spans="2:12">
      <c r="B104" s="421"/>
      <c r="C104" s="434"/>
      <c r="H104" s="431"/>
      <c r="I104" s="436"/>
      <c r="J104" s="832" t="s">
        <v>410</v>
      </c>
      <c r="K104" s="467">
        <f>SUM(K13:K101)/2</f>
        <v>89100000</v>
      </c>
      <c r="L104" s="818"/>
    </row>
    <row r="105" spans="2:12" ht="16.5" thickBot="1">
      <c r="B105" s="468"/>
      <c r="C105" s="469"/>
      <c r="D105" s="470"/>
      <c r="E105" s="470"/>
      <c r="F105" s="470"/>
      <c r="G105" s="470"/>
      <c r="H105" s="830"/>
      <c r="I105" s="831"/>
      <c r="J105" s="827"/>
      <c r="K105" s="823"/>
    </row>
    <row r="106" spans="2:12" ht="16.5" thickTop="1"/>
  </sheetData>
  <mergeCells count="1">
    <mergeCell ref="I7:K7"/>
  </mergeCells>
  <pageMargins left="0.7" right="0.7" top="0.75" bottom="0.75" header="0.3" footer="0.3"/>
  <pageSetup paperSize="9" orientation="portrait" horizontalDpi="0" verticalDpi="0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CEB30D-CE33-4A98-85EA-26F7C3E0CE10}">
  <sheetPr>
    <tabColor rgb="FFFFFF00"/>
    <pageSetUpPr fitToPage="1"/>
  </sheetPr>
  <dimension ref="A2:L35"/>
  <sheetViews>
    <sheetView topLeftCell="A2" workbookViewId="0">
      <selection activeCell="F8" sqref="F8:H8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872" t="s">
        <v>0</v>
      </c>
      <c r="C3" s="41"/>
      <c r="E3" s="43"/>
      <c r="F3" s="44"/>
    </row>
    <row r="4" spans="1:12">
      <c r="B4" s="872" t="s">
        <v>873</v>
      </c>
      <c r="C4" s="41"/>
      <c r="E4" s="43"/>
      <c r="F4" s="44"/>
    </row>
    <row r="5" spans="1:12">
      <c r="B5" s="873" t="s">
        <v>1</v>
      </c>
      <c r="C5" s="41"/>
      <c r="E5" s="43"/>
      <c r="F5" s="44"/>
    </row>
    <row r="6" spans="1:12">
      <c r="B6" s="872" t="s">
        <v>2</v>
      </c>
      <c r="C6" s="41"/>
      <c r="E6" s="43"/>
      <c r="F6" s="44"/>
    </row>
    <row r="7" spans="1:12">
      <c r="B7" s="873" t="s">
        <v>3</v>
      </c>
      <c r="C7" s="41"/>
      <c r="E7" s="43"/>
      <c r="F7" s="44"/>
    </row>
    <row r="8" spans="1:12" ht="16.5" thickBot="1">
      <c r="F8" s="1136" t="s">
        <v>872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Pusat Informasi Blok A</v>
      </c>
      <c r="D13" s="58"/>
      <c r="E13" s="58"/>
      <c r="F13" s="58"/>
      <c r="G13" s="58"/>
      <c r="H13" s="59"/>
    </row>
    <row r="14" spans="1:12" s="875" customFormat="1">
      <c r="A14" s="39"/>
      <c r="B14" s="55" t="s">
        <v>11</v>
      </c>
      <c r="C14" s="56" t="s">
        <v>340</v>
      </c>
      <c r="D14" s="58"/>
      <c r="E14" s="58"/>
      <c r="F14" s="58"/>
      <c r="G14" s="58"/>
      <c r="H14" s="874">
        <f>'BQ2Pst inform'!K19</f>
        <v>5000000</v>
      </c>
      <c r="I14" s="39"/>
      <c r="J14" s="39"/>
      <c r="K14" s="39"/>
      <c r="L14" s="39"/>
    </row>
    <row r="15" spans="1:12" s="875" customFormat="1">
      <c r="A15" s="39"/>
      <c r="B15" s="55" t="s">
        <v>12</v>
      </c>
      <c r="C15" s="56" t="s">
        <v>191</v>
      </c>
      <c r="D15" s="58"/>
      <c r="E15" s="58"/>
      <c r="F15" s="58"/>
      <c r="G15" s="58"/>
      <c r="H15" s="874">
        <f>'BQ2Pst inform'!K28</f>
        <v>15500000</v>
      </c>
      <c r="I15" s="39"/>
      <c r="J15" s="39"/>
      <c r="K15" s="39"/>
      <c r="L15" s="39"/>
    </row>
    <row r="16" spans="1:12" s="875" customFormat="1">
      <c r="A16" s="39"/>
      <c r="B16" s="55" t="s">
        <v>16</v>
      </c>
      <c r="C16" s="56" t="s">
        <v>355</v>
      </c>
      <c r="D16" s="58"/>
      <c r="E16" s="58"/>
      <c r="F16" s="58"/>
      <c r="G16" s="58"/>
      <c r="H16" s="874">
        <f>'BQ2Pst inform'!K50</f>
        <v>20400000</v>
      </c>
      <c r="I16" s="39"/>
      <c r="J16" s="39"/>
      <c r="K16" s="39"/>
      <c r="L16" s="39"/>
    </row>
    <row r="17" spans="1:12" s="875" customFormat="1">
      <c r="A17" s="39"/>
      <c r="B17" s="55" t="s">
        <v>19</v>
      </c>
      <c r="C17" s="56" t="s">
        <v>360</v>
      </c>
      <c r="D17" s="58"/>
      <c r="E17" s="58"/>
      <c r="F17" s="58"/>
      <c r="G17" s="58"/>
      <c r="H17" s="874">
        <f>'BQ2Pst inform'!K57</f>
        <v>0</v>
      </c>
      <c r="I17" s="39"/>
      <c r="J17" s="39"/>
      <c r="K17" s="39"/>
      <c r="L17" s="39"/>
    </row>
    <row r="18" spans="1:12" s="875" customFormat="1">
      <c r="A18" s="39"/>
      <c r="B18" s="55" t="s">
        <v>22</v>
      </c>
      <c r="C18" s="56" t="s">
        <v>363</v>
      </c>
      <c r="D18" s="58"/>
      <c r="E18" s="58"/>
      <c r="F18" s="58"/>
      <c r="G18" s="58"/>
      <c r="H18" s="874">
        <f>'BQ2Pst inform'!K63</f>
        <v>0</v>
      </c>
      <c r="I18" s="39"/>
      <c r="J18" s="39"/>
      <c r="K18" s="39"/>
      <c r="L18" s="39"/>
    </row>
    <row r="19" spans="1:12" s="875" customFormat="1">
      <c r="A19" s="39"/>
      <c r="B19" s="55" t="s">
        <v>25</v>
      </c>
      <c r="C19" s="56" t="s">
        <v>288</v>
      </c>
      <c r="D19" s="58"/>
      <c r="E19" s="58"/>
      <c r="F19" s="58"/>
      <c r="G19" s="58"/>
      <c r="H19" s="874">
        <f>'BQ2Pst inform'!K78</f>
        <v>27000000</v>
      </c>
      <c r="I19" s="39"/>
      <c r="J19" s="39"/>
      <c r="K19" s="39"/>
      <c r="L19" s="39"/>
    </row>
    <row r="20" spans="1:12" s="875" customFormat="1">
      <c r="A20" s="39"/>
      <c r="B20" s="55" t="s">
        <v>27</v>
      </c>
      <c r="C20" s="56" t="s">
        <v>499</v>
      </c>
      <c r="D20" s="58"/>
      <c r="E20" s="58"/>
      <c r="F20" s="58"/>
      <c r="G20" s="58"/>
      <c r="H20" s="874">
        <f>'BQ2Pst inform'!K83</f>
        <v>3500000</v>
      </c>
      <c r="I20" s="39"/>
      <c r="J20" s="39"/>
      <c r="K20" s="39"/>
      <c r="L20" s="39"/>
    </row>
    <row r="21" spans="1:12" s="875" customFormat="1">
      <c r="A21" s="39"/>
      <c r="B21" s="55" t="s">
        <v>28</v>
      </c>
      <c r="C21" s="56" t="s">
        <v>373</v>
      </c>
      <c r="D21" s="58"/>
      <c r="E21" s="58"/>
      <c r="F21" s="58"/>
      <c r="G21" s="58"/>
      <c r="H21" s="874">
        <f>'BQ2Pst inform'!K93</f>
        <v>17700000</v>
      </c>
      <c r="I21" s="39"/>
      <c r="J21" s="39"/>
      <c r="K21" s="39"/>
      <c r="L21" s="39"/>
    </row>
    <row r="22" spans="1:12" s="875" customFormat="1">
      <c r="A22" s="39"/>
      <c r="B22" s="55" t="s">
        <v>30</v>
      </c>
      <c r="C22" s="56" t="s">
        <v>807</v>
      </c>
      <c r="D22" s="58"/>
      <c r="E22" s="58"/>
      <c r="F22" s="58"/>
      <c r="G22" s="58"/>
      <c r="H22" s="874">
        <f>'BQ2Pst inform'!K114</f>
        <v>0</v>
      </c>
      <c r="I22" s="39"/>
      <c r="J22" s="39"/>
      <c r="K22" s="39"/>
      <c r="L22" s="39"/>
    </row>
    <row r="23" spans="1:12" s="875" customFormat="1">
      <c r="A23" s="39"/>
      <c r="B23" s="55" t="s">
        <v>33</v>
      </c>
      <c r="C23" s="56" t="s">
        <v>385</v>
      </c>
      <c r="D23" s="58"/>
      <c r="E23" s="58"/>
      <c r="F23" s="58"/>
      <c r="G23" s="58"/>
      <c r="H23" s="874">
        <f>'BQ2Pst inform'!K119</f>
        <v>0</v>
      </c>
      <c r="I23" s="39"/>
      <c r="J23" s="39"/>
      <c r="K23" s="39"/>
      <c r="L23" s="39"/>
    </row>
    <row r="24" spans="1:12" s="875" customFormat="1">
      <c r="A24" s="39"/>
      <c r="B24" s="55" t="s">
        <v>34</v>
      </c>
      <c r="C24" s="56" t="s">
        <v>390</v>
      </c>
      <c r="D24" s="58"/>
      <c r="E24" s="58"/>
      <c r="F24" s="58"/>
      <c r="G24" s="58"/>
      <c r="H24" s="874">
        <f>'BQ2Pst inform'!K126</f>
        <v>0</v>
      </c>
      <c r="I24" s="39"/>
      <c r="J24" s="39"/>
      <c r="K24" s="39"/>
      <c r="L24" s="39"/>
    </row>
    <row r="25" spans="1:12" s="875" customFormat="1">
      <c r="A25" s="39"/>
      <c r="B25" s="55" t="s">
        <v>36</v>
      </c>
      <c r="C25" s="56" t="s">
        <v>827</v>
      </c>
      <c r="D25" s="58"/>
      <c r="E25" s="58"/>
      <c r="F25" s="58"/>
      <c r="G25" s="58"/>
      <c r="H25" s="874">
        <f>'BQ2Pst inform'!K135</f>
        <v>0</v>
      </c>
      <c r="I25" s="39"/>
      <c r="J25" s="39"/>
      <c r="K25" s="39"/>
      <c r="L25" s="39"/>
    </row>
    <row r="26" spans="1:12" s="875" customFormat="1">
      <c r="A26" s="39"/>
      <c r="B26" s="55" t="s">
        <v>37</v>
      </c>
      <c r="C26" s="56" t="s">
        <v>824</v>
      </c>
      <c r="D26" s="58"/>
      <c r="E26" s="58"/>
      <c r="F26" s="58"/>
      <c r="G26" s="58"/>
      <c r="H26" s="874">
        <f>'BQ2Pst inform'!K143</f>
        <v>0</v>
      </c>
      <c r="I26" s="39"/>
      <c r="J26" s="39"/>
      <c r="K26" s="39"/>
      <c r="L26" s="39"/>
    </row>
    <row r="27" spans="1:12" s="875" customFormat="1">
      <c r="A27" s="39"/>
      <c r="B27" s="55"/>
      <c r="C27" s="56"/>
      <c r="D27" s="58"/>
      <c r="E27" s="58"/>
      <c r="F27" s="58"/>
      <c r="G27" s="58"/>
      <c r="H27" s="874"/>
      <c r="I27" s="39"/>
      <c r="J27" s="39"/>
      <c r="K27" s="39"/>
      <c r="L27" s="39"/>
    </row>
    <row r="28" spans="1:12" ht="16.5" thickBot="1">
      <c r="B28" s="69"/>
      <c r="C28" s="70"/>
      <c r="D28" s="70"/>
      <c r="E28" s="70"/>
      <c r="F28" s="70"/>
      <c r="G28" s="70"/>
      <c r="H28" s="876"/>
    </row>
    <row r="29" spans="1:12" ht="17.25" thickTop="1" thickBot="1">
      <c r="B29" s="72"/>
      <c r="C29" s="73"/>
      <c r="D29" s="73"/>
      <c r="E29" s="73"/>
      <c r="F29" s="74" t="s">
        <v>41</v>
      </c>
      <c r="G29" s="74"/>
      <c r="H29" s="75">
        <f>SUM(H14:H28)</f>
        <v>89100000</v>
      </c>
    </row>
    <row r="30" spans="1:12" ht="16.5" thickTop="1">
      <c r="B30" s="76"/>
      <c r="C30" s="77"/>
      <c r="D30" s="77"/>
      <c r="E30" s="77"/>
      <c r="F30" s="77"/>
      <c r="G30" s="77"/>
      <c r="H30" s="78"/>
    </row>
    <row r="31" spans="1:12">
      <c r="B31" s="79"/>
      <c r="C31" s="56"/>
      <c r="D31" s="56"/>
      <c r="E31" s="58"/>
      <c r="F31" s="40"/>
      <c r="G31" s="43"/>
      <c r="H31" s="877"/>
    </row>
    <row r="32" spans="1:12">
      <c r="B32" s="81"/>
      <c r="C32" s="41"/>
      <c r="E32" s="44"/>
      <c r="H32" s="82"/>
    </row>
    <row r="33" spans="2:8">
      <c r="B33" s="81"/>
      <c r="C33" s="41"/>
      <c r="E33" s="44"/>
      <c r="H33" s="878"/>
    </row>
    <row r="34" spans="2:8" ht="16.5" thickBot="1">
      <c r="B34" s="84"/>
      <c r="C34" s="85"/>
      <c r="D34" s="85"/>
      <c r="E34" s="85"/>
      <c r="F34" s="85"/>
      <c r="G34" s="85"/>
      <c r="H34" s="86"/>
    </row>
    <row r="35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4D5C2-0617-43DB-BC35-021255C5D532}">
  <sheetPr>
    <tabColor rgb="FFFF0000"/>
  </sheetPr>
  <dimension ref="B1:K170"/>
  <sheetViews>
    <sheetView topLeftCell="A18" workbookViewId="0">
      <selection activeCell="G13" sqref="G13"/>
    </sheetView>
  </sheetViews>
  <sheetFormatPr defaultColWidth="9.140625" defaultRowHeight="15.75"/>
  <cols>
    <col min="1" max="1" width="9.140625" style="87"/>
    <col min="2" max="2" width="9.7109375" style="87" customWidth="1"/>
    <col min="3" max="3" width="9.140625" style="87"/>
    <col min="4" max="4" width="41" style="87" customWidth="1"/>
    <col min="5" max="5" width="9.7109375" style="87" customWidth="1"/>
    <col min="6" max="6" width="14.28515625" style="87" customWidth="1"/>
    <col min="7" max="7" width="19.5703125" style="124" customWidth="1"/>
    <col min="8" max="8" width="1.7109375" style="87" customWidth="1"/>
    <col min="9" max="9" width="9.7109375" style="87" bestFit="1" customWidth="1"/>
    <col min="10" max="16384" width="9.140625" style="87"/>
  </cols>
  <sheetData>
    <row r="1" spans="2:11">
      <c r="G1" s="88"/>
    </row>
    <row r="2" spans="2:11" ht="18.75">
      <c r="B2" s="89" t="s">
        <v>42</v>
      </c>
      <c r="G2" s="88"/>
    </row>
    <row r="3" spans="2:11">
      <c r="B3" s="4" t="s">
        <v>164</v>
      </c>
      <c r="G3" s="88"/>
    </row>
    <row r="4" spans="2:11">
      <c r="B4" s="7" t="s">
        <v>1</v>
      </c>
      <c r="G4" s="88"/>
    </row>
    <row r="5" spans="2:11">
      <c r="B5" s="4" t="s">
        <v>2</v>
      </c>
      <c r="G5" s="88"/>
    </row>
    <row r="6" spans="2:11">
      <c r="B6" s="7" t="s">
        <v>3</v>
      </c>
      <c r="G6" s="88"/>
    </row>
    <row r="7" spans="2:11" ht="16.5" thickBot="1">
      <c r="F7" s="1132"/>
      <c r="G7" s="1132"/>
    </row>
    <row r="8" spans="2:11">
      <c r="B8" s="90"/>
      <c r="C8" s="90"/>
      <c r="D8" s="91"/>
      <c r="E8" s="91"/>
      <c r="F8" s="92"/>
      <c r="G8" s="93"/>
      <c r="H8" s="92"/>
    </row>
    <row r="9" spans="2:11">
      <c r="B9" s="94" t="s">
        <v>43</v>
      </c>
      <c r="C9" s="1133" t="s">
        <v>44</v>
      </c>
      <c r="D9" s="1134"/>
      <c r="E9" s="1134"/>
      <c r="F9" s="1135"/>
      <c r="G9" s="95" t="s">
        <v>5</v>
      </c>
      <c r="H9" s="96"/>
    </row>
    <row r="10" spans="2:11" ht="16.5" thickBot="1">
      <c r="B10" s="97"/>
      <c r="C10" s="97"/>
      <c r="D10" s="98"/>
      <c r="E10" s="98"/>
      <c r="F10" s="99"/>
      <c r="G10" s="100" t="s">
        <v>45</v>
      </c>
      <c r="H10" s="101"/>
    </row>
    <row r="11" spans="2:11">
      <c r="B11" s="102"/>
      <c r="C11" s="103"/>
      <c r="F11" s="104"/>
      <c r="G11" s="105"/>
      <c r="H11" s="104"/>
    </row>
    <row r="12" spans="2:11">
      <c r="B12" s="106" t="s">
        <v>165</v>
      </c>
      <c r="C12" s="107" t="s">
        <v>166</v>
      </c>
      <c r="D12" s="108"/>
      <c r="E12" s="108"/>
      <c r="F12" s="109"/>
      <c r="G12" s="105"/>
      <c r="H12" s="104"/>
      <c r="I12" s="110"/>
    </row>
    <row r="13" spans="2:11">
      <c r="B13" s="102"/>
      <c r="C13" s="111"/>
      <c r="F13" s="104"/>
      <c r="G13" s="105"/>
      <c r="H13" s="104"/>
    </row>
    <row r="14" spans="2:11">
      <c r="B14" s="102">
        <v>1</v>
      </c>
      <c r="C14" s="111" t="s">
        <v>167</v>
      </c>
      <c r="F14" s="104"/>
      <c r="G14" s="112">
        <f>'01SumBQRes200'!H30</f>
        <v>736400000</v>
      </c>
      <c r="H14" s="104"/>
      <c r="K14" s="993"/>
    </row>
    <row r="15" spans="2:11">
      <c r="B15" s="102">
        <f>B14+1</f>
        <v>2</v>
      </c>
      <c r="C15" s="111" t="s">
        <v>168</v>
      </c>
      <c r="F15" s="104"/>
      <c r="G15" s="112">
        <f>'02SumBQRes300'!H30</f>
        <v>691500000</v>
      </c>
      <c r="H15" s="104"/>
      <c r="K15" s="993"/>
    </row>
    <row r="16" spans="2:11">
      <c r="B16" s="102">
        <f t="shared" ref="B16:B37" si="0">B15+1</f>
        <v>3</v>
      </c>
      <c r="C16" s="111" t="s">
        <v>169</v>
      </c>
      <c r="F16" s="104"/>
      <c r="G16" s="112">
        <f>'03SumBQResto400'!H30</f>
        <v>451200000</v>
      </c>
      <c r="H16" s="104"/>
      <c r="K16" s="993"/>
    </row>
    <row r="17" spans="2:11">
      <c r="B17" s="102">
        <f t="shared" si="0"/>
        <v>4</v>
      </c>
      <c r="C17" s="111" t="s">
        <v>170</v>
      </c>
      <c r="F17" s="104"/>
      <c r="G17" s="112">
        <f>'04SumResto1000'!H29</f>
        <v>89100000</v>
      </c>
      <c r="H17" s="104"/>
      <c r="K17" s="993"/>
    </row>
    <row r="18" spans="2:11">
      <c r="B18" s="102">
        <f t="shared" si="0"/>
        <v>5</v>
      </c>
      <c r="C18" s="111" t="s">
        <v>171</v>
      </c>
      <c r="F18" s="104"/>
      <c r="G18" s="112">
        <f>'05SumSaung'!H26</f>
        <v>712800000</v>
      </c>
      <c r="H18" s="104"/>
      <c r="K18" s="993"/>
    </row>
    <row r="19" spans="2:11">
      <c r="B19" s="102">
        <f t="shared" si="0"/>
        <v>6</v>
      </c>
      <c r="C19" s="1074" t="s">
        <v>172</v>
      </c>
      <c r="F19" s="104"/>
      <c r="G19" s="112">
        <f>'06SumCafe200'!H31</f>
        <v>1692900000</v>
      </c>
      <c r="H19" s="104"/>
      <c r="K19" s="993"/>
    </row>
    <row r="20" spans="2:11">
      <c r="B20" s="102">
        <f t="shared" si="0"/>
        <v>7</v>
      </c>
      <c r="C20" s="1074" t="s">
        <v>173</v>
      </c>
      <c r="F20" s="104"/>
      <c r="G20" s="112">
        <f>'07SumMasjid'!H29</f>
        <v>89100000</v>
      </c>
      <c r="H20" s="104"/>
      <c r="K20" s="993"/>
    </row>
    <row r="21" spans="2:11">
      <c r="B21" s="102">
        <f t="shared" si="0"/>
        <v>8</v>
      </c>
      <c r="C21" s="111" t="s">
        <v>803</v>
      </c>
      <c r="F21" s="104"/>
      <c r="G21" s="112">
        <f>'08SumKios'!H44</f>
        <v>1603800000</v>
      </c>
      <c r="H21" s="104"/>
      <c r="K21" s="993"/>
    </row>
    <row r="22" spans="2:11">
      <c r="B22" s="102">
        <f t="shared" si="0"/>
        <v>9</v>
      </c>
      <c r="C22" s="111" t="s">
        <v>174</v>
      </c>
      <c r="F22" s="104"/>
      <c r="G22" s="112">
        <f>'09SumPustInf'!H29</f>
        <v>89100000</v>
      </c>
      <c r="H22" s="104"/>
      <c r="K22" s="993"/>
    </row>
    <row r="23" spans="2:11">
      <c r="B23" s="102">
        <f t="shared" si="0"/>
        <v>10</v>
      </c>
      <c r="C23" s="111" t="s">
        <v>175</v>
      </c>
      <c r="F23" s="104"/>
      <c r="G23" s="112">
        <f>'10SumToilet30'!H30</f>
        <v>0</v>
      </c>
      <c r="H23" s="104"/>
      <c r="K23" s="993"/>
    </row>
    <row r="24" spans="2:11">
      <c r="B24" s="102">
        <f t="shared" si="0"/>
        <v>11</v>
      </c>
      <c r="C24" s="111" t="s">
        <v>176</v>
      </c>
      <c r="F24" s="104"/>
      <c r="G24" s="112">
        <f>'11SumToilet34'!H30</f>
        <v>0</v>
      </c>
      <c r="H24" s="104"/>
      <c r="K24" s="993"/>
    </row>
    <row r="25" spans="2:11">
      <c r="B25" s="102">
        <f t="shared" si="0"/>
        <v>12</v>
      </c>
      <c r="C25" s="111" t="s">
        <v>177</v>
      </c>
      <c r="F25" s="104"/>
      <c r="G25" s="112">
        <f>'12SumKomodo'!H28</f>
        <v>89100000</v>
      </c>
      <c r="H25" s="104"/>
      <c r="K25" s="993"/>
    </row>
    <row r="26" spans="2:11">
      <c r="B26" s="102">
        <f t="shared" si="0"/>
        <v>13</v>
      </c>
      <c r="C26" s="111" t="s">
        <v>178</v>
      </c>
      <c r="F26" s="104"/>
      <c r="G26" s="112">
        <f>'13SumPOSPOL'!H29</f>
        <v>104655055</v>
      </c>
      <c r="H26" s="104"/>
      <c r="K26" s="993"/>
    </row>
    <row r="27" spans="2:11">
      <c r="B27" s="102">
        <f t="shared" si="0"/>
        <v>14</v>
      </c>
      <c r="C27" s="1074" t="s">
        <v>179</v>
      </c>
      <c r="F27" s="104"/>
      <c r="G27" s="112">
        <f>'14SumPustKeama'!H28</f>
        <v>170323570</v>
      </c>
      <c r="H27" s="104"/>
      <c r="K27" s="993"/>
    </row>
    <row r="28" spans="2:11">
      <c r="B28" s="102">
        <f t="shared" si="0"/>
        <v>15</v>
      </c>
      <c r="C28" s="111" t="s">
        <v>180</v>
      </c>
      <c r="F28" s="104"/>
      <c r="G28" s="112">
        <f>'15SUMPosjaga5x5'!H40</f>
        <v>136210985</v>
      </c>
      <c r="H28" s="104"/>
      <c r="K28" s="993"/>
    </row>
    <row r="29" spans="2:11">
      <c r="B29" s="102">
        <f t="shared" si="0"/>
        <v>16</v>
      </c>
      <c r="C29" s="111" t="s">
        <v>181</v>
      </c>
      <c r="F29" s="104"/>
      <c r="G29" s="112">
        <f>'16SumTitikPandang'!H24</f>
        <v>113743029</v>
      </c>
      <c r="H29" s="104"/>
      <c r="K29" s="993"/>
    </row>
    <row r="30" spans="2:11">
      <c r="B30" s="102">
        <f t="shared" si="0"/>
        <v>17</v>
      </c>
      <c r="C30" s="111" t="s">
        <v>182</v>
      </c>
      <c r="F30" s="104"/>
      <c r="G30" s="112">
        <f>'17SumJembPdg'!H26</f>
        <v>2447800702.6808128</v>
      </c>
      <c r="H30" s="104"/>
      <c r="K30" s="993"/>
    </row>
    <row r="31" spans="2:11">
      <c r="B31" s="102">
        <f t="shared" si="0"/>
        <v>18</v>
      </c>
      <c r="C31" s="111" t="s">
        <v>881</v>
      </c>
      <c r="F31" s="104"/>
      <c r="G31" s="112">
        <f>'18SumkLINIK'!H29</f>
        <v>361199676.1785714</v>
      </c>
      <c r="H31" s="104"/>
      <c r="K31" s="993"/>
    </row>
    <row r="32" spans="2:11">
      <c r="B32" s="102">
        <f t="shared" si="0"/>
        <v>19</v>
      </c>
      <c r="C32" s="111" t="s">
        <v>943</v>
      </c>
      <c r="F32" s="104"/>
      <c r="G32" s="112">
        <f>'19SumBQDamkar'!H28</f>
        <v>313310565.60000002</v>
      </c>
      <c r="H32" s="104"/>
      <c r="K32" s="993"/>
    </row>
    <row r="33" spans="2:11">
      <c r="B33" s="102">
        <f t="shared" si="0"/>
        <v>20</v>
      </c>
      <c r="C33" s="111" t="s">
        <v>183</v>
      </c>
      <c r="F33" s="104"/>
      <c r="G33" s="112">
        <f>'20SumRTungguBis'!H24</f>
        <v>72489300</v>
      </c>
      <c r="H33" s="104"/>
      <c r="K33" s="993"/>
    </row>
    <row r="34" spans="2:11">
      <c r="B34" s="102">
        <f t="shared" si="0"/>
        <v>21</v>
      </c>
      <c r="C34" s="111" t="s">
        <v>184</v>
      </c>
      <c r="F34" s="104"/>
      <c r="G34" s="112">
        <f>'21 Ipal'!H29</f>
        <v>970000000</v>
      </c>
      <c r="H34" s="104"/>
      <c r="K34" s="993"/>
    </row>
    <row r="35" spans="2:11">
      <c r="B35" s="102">
        <f t="shared" si="0"/>
        <v>22</v>
      </c>
      <c r="C35" s="111" t="s">
        <v>185</v>
      </c>
      <c r="F35" s="104"/>
      <c r="G35" s="112">
        <f>'22SUMTPS'!H42</f>
        <v>189751611.51785716</v>
      </c>
      <c r="H35" s="104"/>
      <c r="K35" s="993"/>
    </row>
    <row r="36" spans="2:11">
      <c r="B36" s="102">
        <f t="shared" si="0"/>
        <v>23</v>
      </c>
      <c r="C36" s="111" t="s">
        <v>186</v>
      </c>
      <c r="F36" s="104"/>
      <c r="G36" s="112">
        <f>'23SUMUnitAB'!H29</f>
        <v>427790775</v>
      </c>
      <c r="H36" s="104"/>
      <c r="K36" s="993"/>
    </row>
    <row r="37" spans="2:11">
      <c r="B37" s="102">
        <f t="shared" si="0"/>
        <v>24</v>
      </c>
      <c r="C37" s="111" t="s">
        <v>187</v>
      </c>
      <c r="F37" s="104"/>
      <c r="G37" s="112">
        <f>'24SUMGardupln'!H34</f>
        <v>305923750</v>
      </c>
      <c r="H37" s="104"/>
      <c r="K37" s="993"/>
    </row>
    <row r="38" spans="2:11">
      <c r="B38" s="102"/>
      <c r="C38" s="111"/>
      <c r="F38" s="104"/>
      <c r="G38" s="112"/>
      <c r="H38" s="104"/>
      <c r="K38" s="993"/>
    </row>
    <row r="39" spans="2:11" ht="16.5" thickBot="1">
      <c r="B39" s="113"/>
      <c r="C39" s="114"/>
      <c r="D39" s="115"/>
      <c r="E39" s="115"/>
      <c r="F39" s="116"/>
      <c r="G39" s="117"/>
      <c r="H39" s="116"/>
      <c r="I39" s="110"/>
    </row>
    <row r="40" spans="2:11" ht="16.5" thickBot="1">
      <c r="B40" s="118"/>
      <c r="C40" s="119"/>
      <c r="D40" s="119"/>
      <c r="E40" s="119"/>
      <c r="F40" s="120"/>
      <c r="G40" s="121">
        <f>SUM(G14:G39)</f>
        <v>11858199019.977242</v>
      </c>
      <c r="H40" s="122"/>
      <c r="I40" s="110"/>
    </row>
    <row r="41" spans="2:11">
      <c r="B41" s="123"/>
      <c r="C41" s="87" t="s">
        <v>46</v>
      </c>
      <c r="I41" s="110"/>
    </row>
    <row r="42" spans="2:11">
      <c r="B42" s="123"/>
      <c r="I42" s="110"/>
    </row>
    <row r="43" spans="2:11">
      <c r="B43" s="125"/>
      <c r="C43" s="87" t="s">
        <v>47</v>
      </c>
      <c r="I43" s="110"/>
    </row>
    <row r="44" spans="2:11">
      <c r="B44" s="125"/>
      <c r="I44" s="110"/>
    </row>
    <row r="45" spans="2:11">
      <c r="B45" s="125"/>
      <c r="I45" s="110"/>
    </row>
    <row r="46" spans="2:11">
      <c r="B46" s="125"/>
      <c r="I46" s="110"/>
    </row>
    <row r="47" spans="2:11">
      <c r="B47" s="125"/>
      <c r="I47" s="110"/>
    </row>
    <row r="48" spans="2:11">
      <c r="B48" s="125"/>
      <c r="I48" s="110"/>
    </row>
    <row r="49" spans="2:9">
      <c r="B49" s="125"/>
      <c r="I49" s="110"/>
    </row>
    <row r="50" spans="2:9">
      <c r="B50" s="125"/>
      <c r="I50" s="110"/>
    </row>
    <row r="51" spans="2:9">
      <c r="B51" s="125"/>
      <c r="I51" s="110"/>
    </row>
    <row r="52" spans="2:9">
      <c r="B52" s="125"/>
      <c r="I52" s="110"/>
    </row>
    <row r="53" spans="2:9">
      <c r="B53" s="125"/>
      <c r="I53" s="110"/>
    </row>
    <row r="54" spans="2:9">
      <c r="B54" s="125"/>
      <c r="I54" s="110"/>
    </row>
    <row r="55" spans="2:9">
      <c r="B55" s="125"/>
      <c r="I55" s="110"/>
    </row>
    <row r="56" spans="2:9">
      <c r="B56" s="125"/>
      <c r="I56" s="110"/>
    </row>
    <row r="57" spans="2:9">
      <c r="B57" s="125"/>
    </row>
    <row r="58" spans="2:9">
      <c r="B58" s="125"/>
    </row>
    <row r="59" spans="2:9">
      <c r="B59" s="125"/>
    </row>
    <row r="60" spans="2:9">
      <c r="B60" s="125"/>
    </row>
    <row r="61" spans="2:9">
      <c r="B61" s="125"/>
    </row>
    <row r="62" spans="2:9">
      <c r="B62" s="125"/>
    </row>
    <row r="63" spans="2:9">
      <c r="B63" s="125"/>
    </row>
    <row r="64" spans="2:9">
      <c r="B64" s="125"/>
    </row>
    <row r="65" spans="2:2">
      <c r="B65" s="125"/>
    </row>
    <row r="66" spans="2:2">
      <c r="B66" s="125"/>
    </row>
    <row r="67" spans="2:2">
      <c r="B67" s="125"/>
    </row>
    <row r="68" spans="2:2">
      <c r="B68" s="125"/>
    </row>
    <row r="69" spans="2:2">
      <c r="B69" s="125"/>
    </row>
    <row r="70" spans="2:2">
      <c r="B70" s="125"/>
    </row>
    <row r="71" spans="2:2">
      <c r="B71" s="125"/>
    </row>
    <row r="72" spans="2:2">
      <c r="B72" s="125"/>
    </row>
    <row r="73" spans="2:2">
      <c r="B73" s="125"/>
    </row>
    <row r="74" spans="2:2">
      <c r="B74" s="125"/>
    </row>
    <row r="75" spans="2:2">
      <c r="B75" s="125"/>
    </row>
    <row r="76" spans="2:2">
      <c r="B76" s="125"/>
    </row>
    <row r="77" spans="2:2">
      <c r="B77" s="125"/>
    </row>
    <row r="78" spans="2:2">
      <c r="B78" s="125"/>
    </row>
    <row r="79" spans="2:2">
      <c r="B79" s="125"/>
    </row>
    <row r="80" spans="2:2">
      <c r="B80" s="125"/>
    </row>
    <row r="81" spans="2:2">
      <c r="B81" s="125"/>
    </row>
    <row r="82" spans="2:2">
      <c r="B82" s="125"/>
    </row>
    <row r="83" spans="2:2">
      <c r="B83" s="125"/>
    </row>
    <row r="84" spans="2:2">
      <c r="B84" s="125"/>
    </row>
    <row r="85" spans="2:2">
      <c r="B85" s="125"/>
    </row>
    <row r="86" spans="2:2">
      <c r="B86" s="125"/>
    </row>
    <row r="87" spans="2:2">
      <c r="B87" s="125"/>
    </row>
    <row r="88" spans="2:2">
      <c r="B88" s="125"/>
    </row>
    <row r="89" spans="2:2">
      <c r="B89" s="125"/>
    </row>
    <row r="90" spans="2:2">
      <c r="B90" s="125"/>
    </row>
    <row r="91" spans="2:2">
      <c r="B91" s="125"/>
    </row>
    <row r="92" spans="2:2">
      <c r="B92" s="125"/>
    </row>
    <row r="93" spans="2:2">
      <c r="B93" s="125"/>
    </row>
    <row r="94" spans="2:2">
      <c r="B94" s="125"/>
    </row>
    <row r="95" spans="2:2">
      <c r="B95" s="125"/>
    </row>
    <row r="96" spans="2:2">
      <c r="B96" s="125"/>
    </row>
    <row r="97" spans="2:2">
      <c r="B97" s="125"/>
    </row>
    <row r="98" spans="2:2">
      <c r="B98" s="125"/>
    </row>
    <row r="99" spans="2:2">
      <c r="B99" s="125"/>
    </row>
    <row r="100" spans="2:2">
      <c r="B100" s="125"/>
    </row>
    <row r="101" spans="2:2">
      <c r="B101" s="125"/>
    </row>
    <row r="102" spans="2:2">
      <c r="B102" s="125"/>
    </row>
    <row r="103" spans="2:2">
      <c r="B103" s="125"/>
    </row>
    <row r="104" spans="2:2">
      <c r="B104" s="125"/>
    </row>
    <row r="105" spans="2:2">
      <c r="B105" s="125"/>
    </row>
    <row r="106" spans="2:2">
      <c r="B106" s="125"/>
    </row>
    <row r="107" spans="2:2">
      <c r="B107" s="125"/>
    </row>
    <row r="108" spans="2:2">
      <c r="B108" s="125"/>
    </row>
    <row r="109" spans="2:2">
      <c r="B109" s="125"/>
    </row>
    <row r="110" spans="2:2">
      <c r="B110" s="125"/>
    </row>
    <row r="111" spans="2:2">
      <c r="B111" s="125"/>
    </row>
    <row r="112" spans="2:2">
      <c r="B112" s="125"/>
    </row>
    <row r="113" spans="2:2">
      <c r="B113" s="125"/>
    </row>
    <row r="114" spans="2:2">
      <c r="B114" s="125"/>
    </row>
    <row r="115" spans="2:2">
      <c r="B115" s="125"/>
    </row>
    <row r="116" spans="2:2">
      <c r="B116" s="125"/>
    </row>
    <row r="117" spans="2:2">
      <c r="B117" s="125"/>
    </row>
    <row r="118" spans="2:2">
      <c r="B118" s="125"/>
    </row>
    <row r="119" spans="2:2">
      <c r="B119" s="125"/>
    </row>
    <row r="120" spans="2:2">
      <c r="B120" s="125"/>
    </row>
    <row r="121" spans="2:2">
      <c r="B121" s="125"/>
    </row>
    <row r="122" spans="2:2">
      <c r="B122" s="125"/>
    </row>
    <row r="123" spans="2:2">
      <c r="B123" s="125"/>
    </row>
    <row r="124" spans="2:2">
      <c r="B124" s="125"/>
    </row>
    <row r="125" spans="2:2">
      <c r="B125" s="125"/>
    </row>
    <row r="126" spans="2:2">
      <c r="B126" s="125"/>
    </row>
    <row r="127" spans="2:2">
      <c r="B127" s="125"/>
    </row>
    <row r="128" spans="2:2">
      <c r="B128" s="125"/>
    </row>
    <row r="129" spans="2:2">
      <c r="B129" s="125"/>
    </row>
    <row r="130" spans="2:2">
      <c r="B130" s="125"/>
    </row>
    <row r="131" spans="2:2">
      <c r="B131" s="125"/>
    </row>
    <row r="132" spans="2:2">
      <c r="B132" s="125"/>
    </row>
    <row r="133" spans="2:2">
      <c r="B133" s="125"/>
    </row>
    <row r="134" spans="2:2">
      <c r="B134" s="125"/>
    </row>
    <row r="135" spans="2:2">
      <c r="B135" s="125"/>
    </row>
    <row r="136" spans="2:2">
      <c r="B136" s="125"/>
    </row>
    <row r="137" spans="2:2">
      <c r="B137" s="125"/>
    </row>
    <row r="138" spans="2:2">
      <c r="B138" s="125"/>
    </row>
    <row r="139" spans="2:2">
      <c r="B139" s="125"/>
    </row>
    <row r="140" spans="2:2">
      <c r="B140" s="125"/>
    </row>
    <row r="141" spans="2:2">
      <c r="B141" s="125"/>
    </row>
    <row r="142" spans="2:2">
      <c r="B142" s="125"/>
    </row>
    <row r="143" spans="2:2">
      <c r="B143" s="125"/>
    </row>
    <row r="144" spans="2:2">
      <c r="B144" s="125"/>
    </row>
    <row r="145" spans="2:2">
      <c r="B145" s="125"/>
    </row>
    <row r="146" spans="2:2">
      <c r="B146" s="125"/>
    </row>
    <row r="147" spans="2:2">
      <c r="B147" s="125"/>
    </row>
    <row r="148" spans="2:2">
      <c r="B148" s="125"/>
    </row>
    <row r="149" spans="2:2">
      <c r="B149" s="125"/>
    </row>
    <row r="150" spans="2:2">
      <c r="B150" s="125"/>
    </row>
    <row r="151" spans="2:2">
      <c r="B151" s="125"/>
    </row>
    <row r="152" spans="2:2">
      <c r="B152" s="125"/>
    </row>
    <row r="153" spans="2:2">
      <c r="B153" s="125"/>
    </row>
    <row r="154" spans="2:2">
      <c r="B154" s="125"/>
    </row>
    <row r="155" spans="2:2">
      <c r="B155" s="125"/>
    </row>
    <row r="156" spans="2:2">
      <c r="B156" s="125"/>
    </row>
    <row r="157" spans="2:2">
      <c r="B157" s="125"/>
    </row>
    <row r="158" spans="2:2">
      <c r="B158" s="125"/>
    </row>
    <row r="159" spans="2:2">
      <c r="B159" s="125"/>
    </row>
    <row r="160" spans="2:2">
      <c r="B160" s="125"/>
    </row>
    <row r="161" spans="2:2">
      <c r="B161" s="125"/>
    </row>
    <row r="162" spans="2:2">
      <c r="B162" s="125"/>
    </row>
    <row r="163" spans="2:2">
      <c r="B163" s="125"/>
    </row>
    <row r="164" spans="2:2">
      <c r="B164" s="125"/>
    </row>
    <row r="165" spans="2:2">
      <c r="B165" s="125"/>
    </row>
    <row r="166" spans="2:2">
      <c r="B166" s="125"/>
    </row>
    <row r="167" spans="2:2">
      <c r="B167" s="125"/>
    </row>
    <row r="168" spans="2:2">
      <c r="B168" s="125"/>
    </row>
    <row r="169" spans="2:2">
      <c r="B169" s="125"/>
    </row>
    <row r="170" spans="2:2">
      <c r="B170" s="125"/>
    </row>
  </sheetData>
  <mergeCells count="2">
    <mergeCell ref="F7:G7"/>
    <mergeCell ref="C9:F9"/>
  </mergeCells>
  <pageMargins left="0.7" right="0.7" top="0.75" bottom="0.75" header="0.3" footer="0.3"/>
  <pageSetup paperSize="9" scale="80" orientation="portrait" r:id="rId1"/>
  <headerFooter>
    <oddFooter>&amp;L&amp;D&amp;CPage &amp;P of &amp;N&amp;R&amp;F</oddFoot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33538A-1989-4DBE-9CE5-36332D7534DC}">
  <dimension ref="A1:R167"/>
  <sheetViews>
    <sheetView topLeftCell="B130" zoomScaleNormal="100" workbookViewId="0">
      <selection activeCell="K146" sqref="K146"/>
    </sheetView>
  </sheetViews>
  <sheetFormatPr defaultColWidth="9.140625" defaultRowHeight="15.75"/>
  <cols>
    <col min="1" max="1" width="9.140625" style="415"/>
    <col min="2" max="2" width="6.42578125" style="415" customWidth="1"/>
    <col min="3" max="7" width="10.7109375" style="415" customWidth="1"/>
    <col min="8" max="8" width="7.42578125" style="272" bestFit="1" customWidth="1"/>
    <col min="9" max="9" width="11.28515625" style="415" bestFit="1" customWidth="1"/>
    <col min="10" max="10" width="15.28515625" style="416" customWidth="1"/>
    <col min="11" max="11" width="18" style="415" customWidth="1"/>
    <col min="12" max="12" width="13.5703125" style="415" bestFit="1" customWidth="1"/>
    <col min="13" max="13" width="9.140625" style="415"/>
    <col min="14" max="14" width="14.140625" style="415" customWidth="1"/>
    <col min="15" max="15" width="11" style="415" bestFit="1" customWidth="1"/>
    <col min="16" max="17" width="9.140625" style="415"/>
    <col min="18" max="18" width="14.7109375" style="415" customWidth="1"/>
    <col min="19" max="16384" width="9.140625" style="415"/>
  </cols>
  <sheetData>
    <row r="1" spans="2:12">
      <c r="B1" s="39"/>
      <c r="C1" s="39"/>
      <c r="D1" s="39"/>
      <c r="E1" s="39"/>
      <c r="F1" s="39"/>
      <c r="G1" s="39"/>
      <c r="H1" s="39"/>
      <c r="I1" s="39"/>
      <c r="J1" s="39"/>
      <c r="K1" s="858"/>
    </row>
    <row r="2" spans="2:12">
      <c r="B2" s="414" t="s">
        <v>0</v>
      </c>
      <c r="C2" s="2"/>
      <c r="D2" s="1"/>
      <c r="E2" s="5"/>
      <c r="F2" s="6"/>
      <c r="G2" s="1"/>
      <c r="H2" s="1"/>
      <c r="I2" s="39"/>
      <c r="J2" s="292"/>
      <c r="K2" s="292"/>
    </row>
    <row r="3" spans="2:12">
      <c r="B3" s="859" t="s">
        <v>820</v>
      </c>
      <c r="C3" s="2"/>
      <c r="D3" s="1"/>
      <c r="E3" s="5"/>
      <c r="F3" s="6"/>
      <c r="G3" s="1"/>
      <c r="H3" s="1"/>
      <c r="I3" s="39"/>
      <c r="J3" s="292"/>
      <c r="K3" s="292"/>
    </row>
    <row r="4" spans="2:12">
      <c r="B4" s="850" t="s">
        <v>1</v>
      </c>
      <c r="C4" s="2"/>
      <c r="D4" s="1"/>
      <c r="E4" s="5"/>
      <c r="F4" s="6"/>
      <c r="G4" s="1"/>
      <c r="H4" s="1"/>
      <c r="I4" s="39"/>
      <c r="J4" s="292"/>
      <c r="K4" s="292"/>
    </row>
    <row r="5" spans="2:12">
      <c r="B5" s="414" t="s">
        <v>2</v>
      </c>
      <c r="C5" s="2"/>
      <c r="D5" s="1"/>
      <c r="E5" s="5"/>
      <c r="F5" s="6"/>
      <c r="G5" s="1"/>
      <c r="H5" s="1"/>
      <c r="I5" s="39"/>
      <c r="J5" s="292"/>
      <c r="K5" s="292"/>
    </row>
    <row r="6" spans="2:12">
      <c r="B6" s="850" t="s">
        <v>3</v>
      </c>
      <c r="C6" s="2"/>
      <c r="D6" s="1"/>
      <c r="E6" s="5"/>
      <c r="F6" s="6"/>
      <c r="G6" s="1"/>
      <c r="H6" s="1"/>
      <c r="I6" s="39"/>
      <c r="J6" s="292"/>
      <c r="K6" s="292"/>
    </row>
    <row r="7" spans="2:12" ht="16.5" thickBot="1">
      <c r="B7" s="1"/>
      <c r="C7" s="1"/>
      <c r="D7" s="1"/>
      <c r="E7" s="1"/>
      <c r="F7" s="1"/>
      <c r="G7" s="1"/>
      <c r="H7" s="1"/>
      <c r="I7" s="1136" t="s">
        <v>872</v>
      </c>
      <c r="J7" s="1136"/>
      <c r="K7" s="1136"/>
    </row>
    <row r="8" spans="2:12" ht="16.5" thickTop="1">
      <c r="B8" s="8"/>
      <c r="C8" s="9"/>
      <c r="D8" s="9"/>
      <c r="E8" s="9"/>
      <c r="F8" s="9"/>
      <c r="G8" s="9"/>
      <c r="H8" s="10"/>
      <c r="I8" s="836"/>
      <c r="J8" s="860" t="s">
        <v>4</v>
      </c>
      <c r="K8" s="861" t="s">
        <v>5</v>
      </c>
    </row>
    <row r="9" spans="2:12">
      <c r="B9" s="14" t="s">
        <v>6</v>
      </c>
      <c r="C9" s="15" t="s">
        <v>7</v>
      </c>
      <c r="D9" s="15"/>
      <c r="E9" s="15"/>
      <c r="F9" s="15"/>
      <c r="G9" s="15"/>
      <c r="H9" s="16" t="s">
        <v>8</v>
      </c>
      <c r="I9" s="837" t="s">
        <v>9</v>
      </c>
      <c r="J9" s="862" t="s">
        <v>8</v>
      </c>
      <c r="K9" s="863" t="s">
        <v>4</v>
      </c>
      <c r="L9" s="1141"/>
    </row>
    <row r="10" spans="2:12" ht="16.5" thickBot="1">
      <c r="B10" s="20"/>
      <c r="C10" s="21"/>
      <c r="D10" s="21"/>
      <c r="E10" s="21"/>
      <c r="F10" s="21"/>
      <c r="G10" s="21"/>
      <c r="H10" s="22"/>
      <c r="I10" s="838"/>
      <c r="J10" s="864" t="s">
        <v>10</v>
      </c>
      <c r="K10" s="865" t="s">
        <v>10</v>
      </c>
      <c r="L10" s="1142"/>
    </row>
    <row r="11" spans="2:12" ht="16.5" thickTop="1">
      <c r="B11" s="421"/>
      <c r="C11" s="422"/>
      <c r="D11" s="423"/>
      <c r="E11" s="423"/>
      <c r="F11" s="423"/>
      <c r="G11" s="424"/>
      <c r="I11" s="425"/>
      <c r="J11" s="426"/>
      <c r="K11" s="427"/>
      <c r="L11" s="866"/>
    </row>
    <row r="12" spans="2:12">
      <c r="B12" s="428" t="s">
        <v>339</v>
      </c>
      <c r="C12" s="429" t="s">
        <v>340</v>
      </c>
      <c r="D12" s="377"/>
      <c r="E12" s="377"/>
      <c r="F12" s="377"/>
      <c r="G12" s="430"/>
      <c r="I12" s="431"/>
      <c r="J12" s="432"/>
      <c r="K12" s="433"/>
      <c r="L12" s="867"/>
    </row>
    <row r="13" spans="2:12">
      <c r="B13" s="421">
        <v>1</v>
      </c>
      <c r="C13" s="434" t="str">
        <f>[80]Sheet1!$B$3</f>
        <v xml:space="preserve">Pembersihan awal dan Selama Proyek Berjalan </v>
      </c>
      <c r="G13" s="435"/>
      <c r="H13" s="272" t="s">
        <v>357</v>
      </c>
      <c r="I13" s="436">
        <v>1</v>
      </c>
      <c r="J13" s="432">
        <f>[80]Sheet1!$D$3</f>
        <v>1000000</v>
      </c>
      <c r="K13" s="437">
        <f>I13*J13</f>
        <v>1000000</v>
      </c>
      <c r="L13" s="842"/>
    </row>
    <row r="14" spans="2:12">
      <c r="B14" s="421">
        <f>B13+1</f>
        <v>2</v>
      </c>
      <c r="C14" s="434" t="str">
        <f>[80]Sheet1!$B$4</f>
        <v>Pembersihan akhir sampah dll</v>
      </c>
      <c r="G14" s="435"/>
      <c r="H14" s="272" t="s">
        <v>357</v>
      </c>
      <c r="I14" s="436">
        <v>1</v>
      </c>
      <c r="J14" s="432">
        <f>[80]Sheet1!$D$4</f>
        <v>1000000</v>
      </c>
      <c r="K14" s="437">
        <f>I14*J14</f>
        <v>1000000</v>
      </c>
      <c r="L14" s="842"/>
    </row>
    <row r="15" spans="2:12">
      <c r="B15" s="421">
        <f>B14+1</f>
        <v>3</v>
      </c>
      <c r="C15" s="1113" t="str">
        <f>[80]Sheet1!$B$5</f>
        <v>Survey</v>
      </c>
      <c r="G15" s="435"/>
      <c r="H15" s="272" t="s">
        <v>357</v>
      </c>
      <c r="I15" s="436">
        <v>1</v>
      </c>
      <c r="J15" s="432">
        <f>[80]Sheet1!$D$5</f>
        <v>2000000</v>
      </c>
      <c r="K15" s="437">
        <f>I15*J15</f>
        <v>2000000</v>
      </c>
      <c r="L15" s="842"/>
    </row>
    <row r="16" spans="2:12">
      <c r="B16" s="421">
        <f>B15+1</f>
        <v>4</v>
      </c>
      <c r="C16" s="1113" t="str">
        <f>[80]Sheet1!$B$6</f>
        <v>Pembuatan gambar teknis</v>
      </c>
      <c r="G16" s="435"/>
      <c r="H16" s="272" t="s">
        <v>357</v>
      </c>
      <c r="I16" s="436">
        <v>1</v>
      </c>
      <c r="J16" s="432">
        <f>[80]Sheet1!$D$6</f>
        <v>1000000</v>
      </c>
      <c r="K16" s="437">
        <f>I16*J16</f>
        <v>1000000</v>
      </c>
      <c r="L16" s="842"/>
    </row>
    <row r="17" spans="2:12">
      <c r="B17" s="421">
        <f>B16+1</f>
        <v>5</v>
      </c>
      <c r="C17" s="434"/>
      <c r="G17" s="435"/>
      <c r="I17" s="436">
        <v>0</v>
      </c>
      <c r="J17" s="432">
        <v>0</v>
      </c>
      <c r="K17" s="437">
        <f>I17*J17</f>
        <v>0</v>
      </c>
      <c r="L17" s="842"/>
    </row>
    <row r="18" spans="2:12">
      <c r="B18" s="438"/>
      <c r="C18" s="434"/>
      <c r="G18" s="435"/>
      <c r="I18" s="436"/>
      <c r="J18" s="432"/>
      <c r="K18" s="437"/>
      <c r="L18" s="842"/>
    </row>
    <row r="19" spans="2:12">
      <c r="B19" s="421"/>
      <c r="C19" s="434"/>
      <c r="G19" s="435"/>
      <c r="I19" s="436"/>
      <c r="J19" s="439" t="s">
        <v>348</v>
      </c>
      <c r="K19" s="440">
        <f>SUM(K13:K17)</f>
        <v>5000000</v>
      </c>
      <c r="L19" s="843"/>
    </row>
    <row r="20" spans="2:12">
      <c r="B20" s="428" t="s">
        <v>349</v>
      </c>
      <c r="C20" s="429" t="s">
        <v>1005</v>
      </c>
      <c r="D20" s="377"/>
      <c r="E20" s="377"/>
      <c r="F20" s="377"/>
      <c r="G20" s="430"/>
      <c r="I20" s="436"/>
      <c r="J20" s="432"/>
      <c r="K20" s="437"/>
      <c r="L20" s="867"/>
    </row>
    <row r="21" spans="2:12">
      <c r="B21" s="421">
        <v>1</v>
      </c>
      <c r="C21" s="1114" t="str">
        <f>[80]Sheet1!$B$8</f>
        <v> Kabel UTP</v>
      </c>
      <c r="G21" s="435"/>
      <c r="H21" s="272" t="s">
        <v>1006</v>
      </c>
      <c r="I21" s="436">
        <v>1</v>
      </c>
      <c r="J21" s="432">
        <f>[80]Sheet1!$D$8</f>
        <v>2000000</v>
      </c>
      <c r="K21" s="437">
        <f t="shared" ref="K21:K26" si="0">I21*J21</f>
        <v>2000000</v>
      </c>
      <c r="L21" s="842"/>
    </row>
    <row r="22" spans="2:12">
      <c r="B22" s="421">
        <f>B21+1</f>
        <v>2</v>
      </c>
      <c r="C22" s="1114" t="str">
        <f>[80]Sheet1!$B$9</f>
        <v>Konektor RJ-45</v>
      </c>
      <c r="G22" s="435"/>
      <c r="H22" s="272" t="s">
        <v>1013</v>
      </c>
      <c r="I22" s="436">
        <v>1</v>
      </c>
      <c r="J22" s="432">
        <f>[80]Sheet1!$D$9</f>
        <v>1500000</v>
      </c>
      <c r="K22" s="437">
        <f t="shared" si="0"/>
        <v>1500000</v>
      </c>
      <c r="L22" s="842"/>
    </row>
    <row r="23" spans="2:12">
      <c r="B23" s="421">
        <f>B22+1</f>
        <v>3</v>
      </c>
      <c r="C23" s="1114" t="str">
        <f>[80]Sheet1!$B$10</f>
        <v>Kartu Jaringan (LAN Card)</v>
      </c>
      <c r="G23" s="435"/>
      <c r="H23" s="272" t="s">
        <v>392</v>
      </c>
      <c r="I23" s="436">
        <v>1</v>
      </c>
      <c r="J23" s="432">
        <f>[80]Sheet1!$D$10</f>
        <v>1500000</v>
      </c>
      <c r="K23" s="437">
        <f t="shared" si="0"/>
        <v>1500000</v>
      </c>
      <c r="L23" s="842"/>
    </row>
    <row r="24" spans="2:12">
      <c r="B24" s="421">
        <f>B23+1</f>
        <v>4</v>
      </c>
      <c r="C24" s="1114" t="str">
        <f>[80]Sheet1!$B$11</f>
        <v>Switch / Hub Managable</v>
      </c>
      <c r="G24" s="435"/>
      <c r="H24" s="272" t="s">
        <v>392</v>
      </c>
      <c r="I24" s="436">
        <v>1</v>
      </c>
      <c r="J24" s="432">
        <f>[80]Sheet1!$D$11</f>
        <v>10000000</v>
      </c>
      <c r="K24" s="437">
        <f t="shared" si="0"/>
        <v>10000000</v>
      </c>
      <c r="L24" s="842"/>
    </row>
    <row r="25" spans="2:12">
      <c r="B25" s="421">
        <f>B24+1</f>
        <v>5</v>
      </c>
      <c r="C25" s="1114" t="str">
        <f>[80]Sheet1!$B$12</f>
        <v>Alat dukung</v>
      </c>
      <c r="G25" s="435"/>
      <c r="H25" s="272" t="s">
        <v>392</v>
      </c>
      <c r="I25" s="436">
        <v>1</v>
      </c>
      <c r="J25" s="432">
        <f>[80]Sheet1!$D$12</f>
        <v>500000</v>
      </c>
      <c r="K25" s="437">
        <f t="shared" si="0"/>
        <v>500000</v>
      </c>
      <c r="L25" s="842"/>
    </row>
    <row r="26" spans="2:12">
      <c r="B26" s="421">
        <f>B25+1</f>
        <v>6</v>
      </c>
      <c r="C26" s="434"/>
      <c r="G26" s="435"/>
      <c r="I26" s="436">
        <v>0</v>
      </c>
      <c r="J26" s="432">
        <v>0</v>
      </c>
      <c r="K26" s="437">
        <f t="shared" si="0"/>
        <v>0</v>
      </c>
      <c r="L26" s="842"/>
    </row>
    <row r="27" spans="2:12">
      <c r="B27" s="421"/>
      <c r="C27" s="434"/>
      <c r="G27" s="435"/>
      <c r="I27" s="436"/>
      <c r="J27" s="432"/>
      <c r="K27" s="437"/>
      <c r="L27" s="842"/>
    </row>
    <row r="28" spans="2:12">
      <c r="B28" s="421"/>
      <c r="C28" s="434"/>
      <c r="G28" s="435"/>
      <c r="I28" s="436"/>
      <c r="J28" s="439" t="s">
        <v>353</v>
      </c>
      <c r="K28" s="440">
        <f>SUM(K21:K26)</f>
        <v>15500000</v>
      </c>
      <c r="L28" s="843"/>
    </row>
    <row r="29" spans="2:12">
      <c r="B29" s="428" t="s">
        <v>354</v>
      </c>
      <c r="C29" s="429" t="s">
        <v>1012</v>
      </c>
      <c r="D29" s="377"/>
      <c r="E29" s="377"/>
      <c r="F29" s="377"/>
      <c r="G29" s="430"/>
      <c r="I29" s="436"/>
      <c r="J29" s="432"/>
      <c r="K29" s="437"/>
      <c r="L29" s="867"/>
    </row>
    <row r="30" spans="2:12">
      <c r="B30" s="421">
        <v>1</v>
      </c>
      <c r="C30" s="1114" t="str">
        <f>[80]Sheet1!$B$14</f>
        <v>Cctv indoor</v>
      </c>
      <c r="G30" s="435"/>
      <c r="H30" s="272" t="s">
        <v>392</v>
      </c>
      <c r="I30" s="436">
        <v>1</v>
      </c>
      <c r="J30" s="432">
        <f>[80]Sheet1!$D$14</f>
        <v>3500000</v>
      </c>
      <c r="K30" s="437">
        <f t="shared" ref="K30:K44" si="1">I30*J30</f>
        <v>3500000</v>
      </c>
      <c r="L30" s="842"/>
    </row>
    <row r="31" spans="2:12">
      <c r="B31" s="421">
        <f t="shared" ref="B31:B48" si="2">B30+1</f>
        <v>2</v>
      </c>
      <c r="C31" s="1114" t="str">
        <f>[80]Sheet1!$B$15</f>
        <v>Cctv outdoor</v>
      </c>
      <c r="G31" s="435"/>
      <c r="H31" s="272" t="s">
        <v>392</v>
      </c>
      <c r="I31" s="436">
        <v>1</v>
      </c>
      <c r="J31" s="432">
        <f>[80]Sheet1!$D$15</f>
        <v>3500000</v>
      </c>
      <c r="K31" s="437">
        <f t="shared" si="1"/>
        <v>3500000</v>
      </c>
      <c r="L31" s="842"/>
    </row>
    <row r="32" spans="2:12">
      <c r="B32" s="421">
        <f t="shared" si="2"/>
        <v>3</v>
      </c>
      <c r="C32" s="1114" t="str">
        <f>[80]Sheet1!$B$16</f>
        <v>DVR</v>
      </c>
      <c r="G32" s="435"/>
      <c r="H32" s="272" t="s">
        <v>392</v>
      </c>
      <c r="I32" s="436">
        <v>1</v>
      </c>
      <c r="J32" s="432">
        <f>[80]Sheet1!$D$16</f>
        <v>5000000</v>
      </c>
      <c r="K32" s="437">
        <f t="shared" si="1"/>
        <v>5000000</v>
      </c>
      <c r="L32" s="842"/>
    </row>
    <row r="33" spans="2:12">
      <c r="B33" s="421">
        <f t="shared" si="2"/>
        <v>4</v>
      </c>
      <c r="C33" s="1114" t="str">
        <f>[80]Sheet1!$B$17</f>
        <v>Adapter dan Power Supply.</v>
      </c>
      <c r="G33" s="435"/>
      <c r="H33" s="272" t="s">
        <v>392</v>
      </c>
      <c r="I33" s="436">
        <v>1</v>
      </c>
      <c r="J33" s="432">
        <f>[80]Sheet1!$D$17</f>
        <v>900000</v>
      </c>
      <c r="K33" s="437">
        <f t="shared" si="1"/>
        <v>900000</v>
      </c>
      <c r="L33" s="842"/>
    </row>
    <row r="34" spans="2:12">
      <c r="B34" s="421">
        <f t="shared" si="2"/>
        <v>5</v>
      </c>
      <c r="C34" s="1114" t="str">
        <f>[80]Sheet1!$B$18</f>
        <v>Kabel Power.</v>
      </c>
      <c r="G34" s="435"/>
      <c r="H34" s="272" t="s">
        <v>1006</v>
      </c>
      <c r="I34" s="436">
        <v>1</v>
      </c>
      <c r="J34" s="432">
        <f>[80]Sheet1!$D$18</f>
        <v>1000000</v>
      </c>
      <c r="K34" s="437">
        <f t="shared" si="1"/>
        <v>1000000</v>
      </c>
      <c r="L34" s="842"/>
    </row>
    <row r="35" spans="2:12">
      <c r="B35" s="421">
        <f t="shared" si="2"/>
        <v>6</v>
      </c>
      <c r="C35" s="1114" t="str">
        <f>[80]Sheet1!$B$19</f>
        <v>Crimp Kabel.</v>
      </c>
      <c r="G35" s="435"/>
      <c r="H35" s="272" t="s">
        <v>392</v>
      </c>
      <c r="I35" s="436">
        <v>1</v>
      </c>
      <c r="J35" s="432">
        <f>[80]Sheet1!$D$19</f>
        <v>2000000</v>
      </c>
      <c r="K35" s="437">
        <f t="shared" si="1"/>
        <v>2000000</v>
      </c>
      <c r="L35" s="842"/>
    </row>
    <row r="36" spans="2:12">
      <c r="B36" s="421">
        <f t="shared" si="2"/>
        <v>7</v>
      </c>
      <c r="C36" s="1114" t="str">
        <f>[80]Sheet1!$B$20</f>
        <v>Kabel Coaxial.</v>
      </c>
      <c r="G36" s="435"/>
      <c r="H36" s="272" t="s">
        <v>1006</v>
      </c>
      <c r="I36" s="436">
        <v>1</v>
      </c>
      <c r="J36" s="432">
        <f>[80]Sheet1!$D$20</f>
        <v>3500000</v>
      </c>
      <c r="K36" s="437">
        <f t="shared" si="1"/>
        <v>3500000</v>
      </c>
      <c r="L36" s="842"/>
    </row>
    <row r="37" spans="2:12">
      <c r="B37" s="421">
        <f t="shared" si="2"/>
        <v>8</v>
      </c>
      <c r="C37" s="1114" t="str">
        <f>[80]Sheet1!$B$21</f>
        <v>Konektor RF.</v>
      </c>
      <c r="G37" s="435"/>
      <c r="H37" s="272" t="s">
        <v>1013</v>
      </c>
      <c r="I37" s="436">
        <v>1</v>
      </c>
      <c r="J37" s="432">
        <f>[80]Sheet1!$D$21</f>
        <v>1000000</v>
      </c>
      <c r="K37" s="437">
        <f t="shared" si="1"/>
        <v>1000000</v>
      </c>
      <c r="L37" s="842"/>
    </row>
    <row r="38" spans="2:12">
      <c r="B38" s="421">
        <f t="shared" si="2"/>
        <v>9</v>
      </c>
      <c r="C38" s="434"/>
      <c r="G38" s="435"/>
      <c r="I38" s="436">
        <v>0</v>
      </c>
      <c r="J38" s="432">
        <v>0</v>
      </c>
      <c r="K38" s="437">
        <f t="shared" si="1"/>
        <v>0</v>
      </c>
      <c r="L38" s="842"/>
    </row>
    <row r="39" spans="2:12">
      <c r="B39" s="421">
        <f t="shared" si="2"/>
        <v>10</v>
      </c>
      <c r="C39" s="434"/>
      <c r="G39" s="435"/>
      <c r="I39" s="436">
        <v>0</v>
      </c>
      <c r="J39" s="432">
        <v>0</v>
      </c>
      <c r="K39" s="437">
        <f t="shared" si="1"/>
        <v>0</v>
      </c>
      <c r="L39" s="842"/>
    </row>
    <row r="40" spans="2:12">
      <c r="B40" s="421">
        <f t="shared" si="2"/>
        <v>11</v>
      </c>
      <c r="C40" s="434"/>
      <c r="G40" s="435"/>
      <c r="I40" s="436">
        <v>0</v>
      </c>
      <c r="J40" s="432">
        <v>0</v>
      </c>
      <c r="K40" s="437">
        <f t="shared" si="1"/>
        <v>0</v>
      </c>
      <c r="L40" s="842"/>
    </row>
    <row r="41" spans="2:12">
      <c r="B41" s="421">
        <f t="shared" si="2"/>
        <v>12</v>
      </c>
      <c r="C41" s="434"/>
      <c r="G41" s="435"/>
      <c r="I41" s="436">
        <v>0</v>
      </c>
      <c r="J41" s="432">
        <v>0</v>
      </c>
      <c r="K41" s="437">
        <f t="shared" si="1"/>
        <v>0</v>
      </c>
      <c r="L41" s="842"/>
    </row>
    <row r="42" spans="2:12">
      <c r="B42" s="421">
        <f t="shared" si="2"/>
        <v>13</v>
      </c>
      <c r="C42" s="434"/>
      <c r="G42" s="435"/>
      <c r="I42" s="436">
        <v>0</v>
      </c>
      <c r="J42" s="432">
        <v>0</v>
      </c>
      <c r="K42" s="437">
        <f t="shared" si="1"/>
        <v>0</v>
      </c>
      <c r="L42" s="842"/>
    </row>
    <row r="43" spans="2:12">
      <c r="B43" s="421">
        <f t="shared" si="2"/>
        <v>14</v>
      </c>
      <c r="C43" s="434"/>
      <c r="G43" s="435"/>
      <c r="I43" s="436">
        <v>0</v>
      </c>
      <c r="J43" s="432">
        <v>0</v>
      </c>
      <c r="K43" s="437">
        <f t="shared" si="1"/>
        <v>0</v>
      </c>
      <c r="L43" s="842"/>
    </row>
    <row r="44" spans="2:12">
      <c r="B44" s="421">
        <f t="shared" si="2"/>
        <v>15</v>
      </c>
      <c r="C44" s="434"/>
      <c r="G44" s="435"/>
      <c r="I44" s="436">
        <v>0</v>
      </c>
      <c r="J44" s="432">
        <v>0</v>
      </c>
      <c r="K44" s="437">
        <f t="shared" si="1"/>
        <v>0</v>
      </c>
      <c r="L44" s="842"/>
    </row>
    <row r="45" spans="2:12">
      <c r="B45" s="421">
        <f t="shared" si="2"/>
        <v>16</v>
      </c>
      <c r="C45" s="434"/>
      <c r="G45" s="435"/>
      <c r="I45" s="436">
        <v>0</v>
      </c>
      <c r="J45" s="432">
        <v>0</v>
      </c>
      <c r="K45" s="437">
        <f>I45*J45</f>
        <v>0</v>
      </c>
      <c r="L45" s="842"/>
    </row>
    <row r="46" spans="2:12">
      <c r="B46" s="421">
        <f t="shared" si="2"/>
        <v>17</v>
      </c>
      <c r="C46" s="434"/>
      <c r="G46" s="435"/>
      <c r="I46" s="436">
        <v>0</v>
      </c>
      <c r="J46" s="432">
        <v>0</v>
      </c>
      <c r="K46" s="437">
        <f>I46*J46</f>
        <v>0</v>
      </c>
      <c r="L46" s="842"/>
    </row>
    <row r="47" spans="2:12">
      <c r="B47" s="421">
        <f t="shared" si="2"/>
        <v>18</v>
      </c>
      <c r="C47" s="434"/>
      <c r="G47" s="435"/>
      <c r="I47" s="436">
        <v>0</v>
      </c>
      <c r="J47" s="432">
        <v>0</v>
      </c>
      <c r="K47" s="437">
        <f>I47*J47</f>
        <v>0</v>
      </c>
      <c r="L47" s="842"/>
    </row>
    <row r="48" spans="2:12">
      <c r="B48" s="421">
        <f t="shared" si="2"/>
        <v>19</v>
      </c>
      <c r="C48" s="434"/>
      <c r="G48" s="435"/>
      <c r="I48" s="436">
        <v>0</v>
      </c>
      <c r="J48" s="432">
        <v>0</v>
      </c>
      <c r="K48" s="437">
        <f>I48*J48</f>
        <v>0</v>
      </c>
      <c r="L48" s="842"/>
    </row>
    <row r="49" spans="2:14">
      <c r="B49" s="421"/>
      <c r="C49" s="434"/>
      <c r="G49" s="435"/>
      <c r="I49" s="436"/>
      <c r="J49" s="432"/>
      <c r="K49" s="437"/>
      <c r="L49" s="842"/>
    </row>
    <row r="50" spans="2:14">
      <c r="B50" s="421"/>
      <c r="C50" s="434"/>
      <c r="G50" s="435"/>
      <c r="I50" s="444"/>
      <c r="J50" s="439" t="s">
        <v>358</v>
      </c>
      <c r="K50" s="440">
        <f>SUM(K30:K48)</f>
        <v>20400000</v>
      </c>
      <c r="L50" s="843"/>
    </row>
    <row r="51" spans="2:14">
      <c r="B51" s="428" t="s">
        <v>359</v>
      </c>
      <c r="C51" s="429" t="s">
        <v>62</v>
      </c>
      <c r="D51" s="377"/>
      <c r="E51" s="377"/>
      <c r="F51" s="377"/>
      <c r="G51" s="430"/>
      <c r="I51" s="444"/>
      <c r="J51" s="432"/>
      <c r="K51" s="437"/>
      <c r="L51" s="867"/>
    </row>
    <row r="52" spans="2:14">
      <c r="B52" s="421">
        <v>1</v>
      </c>
      <c r="C52" s="434"/>
      <c r="G52" s="435"/>
      <c r="I52" s="445">
        <v>0</v>
      </c>
      <c r="J52" s="446">
        <v>0</v>
      </c>
      <c r="K52" s="437">
        <f>I52*J52</f>
        <v>0</v>
      </c>
      <c r="L52" s="842"/>
    </row>
    <row r="53" spans="2:14">
      <c r="B53" s="421">
        <f>B52+1</f>
        <v>2</v>
      </c>
      <c r="C53" s="434"/>
      <c r="G53" s="435"/>
      <c r="I53" s="445">
        <v>0</v>
      </c>
      <c r="J53" s="446">
        <v>0</v>
      </c>
      <c r="K53" s="437">
        <f>I53*J53</f>
        <v>0</v>
      </c>
      <c r="L53" s="842"/>
    </row>
    <row r="54" spans="2:14">
      <c r="B54" s="421">
        <f>B53+1</f>
        <v>3</v>
      </c>
      <c r="C54" s="868"/>
      <c r="D54" s="869"/>
      <c r="E54" s="869"/>
      <c r="F54" s="869"/>
      <c r="G54" s="870"/>
      <c r="I54" s="445">
        <v>0</v>
      </c>
      <c r="J54" s="446">
        <v>0</v>
      </c>
      <c r="K54" s="437">
        <f>I54*J54</f>
        <v>0</v>
      </c>
      <c r="L54" s="842"/>
    </row>
    <row r="55" spans="2:14">
      <c r="B55" s="421">
        <f>B54+1</f>
        <v>4</v>
      </c>
      <c r="C55" s="434"/>
      <c r="G55" s="435"/>
      <c r="I55" s="445">
        <v>0</v>
      </c>
      <c r="J55" s="446">
        <v>0</v>
      </c>
      <c r="K55" s="437">
        <f>I55*J55</f>
        <v>0</v>
      </c>
      <c r="L55" s="842"/>
    </row>
    <row r="56" spans="2:14">
      <c r="B56" s="421"/>
      <c r="C56" s="434"/>
      <c r="G56" s="435"/>
      <c r="I56" s="828"/>
      <c r="J56" s="446"/>
      <c r="K56" s="437"/>
      <c r="L56" s="842"/>
    </row>
    <row r="57" spans="2:14">
      <c r="B57" s="421"/>
      <c r="C57" s="434"/>
      <c r="G57" s="435"/>
      <c r="I57" s="444"/>
      <c r="J57" s="439" t="s">
        <v>361</v>
      </c>
      <c r="K57" s="440">
        <f>SUM(K52:K55)</f>
        <v>0</v>
      </c>
      <c r="L57" s="843"/>
    </row>
    <row r="58" spans="2:14">
      <c r="B58" s="428" t="s">
        <v>362</v>
      </c>
      <c r="C58" s="429" t="s">
        <v>62</v>
      </c>
      <c r="D58" s="377"/>
      <c r="E58" s="377"/>
      <c r="F58" s="377"/>
      <c r="G58" s="430"/>
      <c r="I58" s="444"/>
      <c r="J58" s="432"/>
      <c r="K58" s="437"/>
      <c r="L58" s="867"/>
    </row>
    <row r="59" spans="2:14">
      <c r="B59" s="421">
        <v>1</v>
      </c>
      <c r="C59" s="434"/>
      <c r="G59" s="435"/>
      <c r="I59" s="447">
        <f>(I52*2)+(I53*2)</f>
        <v>0</v>
      </c>
      <c r="J59" s="432">
        <v>0</v>
      </c>
      <c r="K59" s="437">
        <f>I59*J59</f>
        <v>0</v>
      </c>
      <c r="L59" s="842"/>
    </row>
    <row r="60" spans="2:14">
      <c r="B60" s="421">
        <f>B59+1</f>
        <v>2</v>
      </c>
      <c r="C60" s="434"/>
      <c r="G60" s="435"/>
      <c r="I60" s="436">
        <v>0</v>
      </c>
      <c r="J60" s="432">
        <v>0</v>
      </c>
      <c r="K60" s="437">
        <f>I60*J60</f>
        <v>0</v>
      </c>
      <c r="L60" s="842"/>
    </row>
    <row r="61" spans="2:14">
      <c r="B61" s="421">
        <v>3</v>
      </c>
      <c r="C61" s="434"/>
      <c r="G61" s="435"/>
      <c r="I61" s="436">
        <v>0</v>
      </c>
      <c r="J61" s="432">
        <v>0</v>
      </c>
      <c r="K61" s="437">
        <f>I61*J61</f>
        <v>0</v>
      </c>
      <c r="L61" s="842"/>
    </row>
    <row r="62" spans="2:14">
      <c r="B62" s="671"/>
      <c r="C62" s="434"/>
      <c r="G62" s="435"/>
      <c r="I62" s="444"/>
      <c r="J62" s="432"/>
      <c r="K62" s="437"/>
      <c r="L62" s="842"/>
    </row>
    <row r="63" spans="2:14">
      <c r="B63" s="421"/>
      <c r="C63" s="434"/>
      <c r="G63" s="435"/>
      <c r="I63" s="444"/>
      <c r="J63" s="439" t="s">
        <v>365</v>
      </c>
      <c r="K63" s="440">
        <f>SUM(K59:K61)</f>
        <v>0</v>
      </c>
      <c r="L63" s="843"/>
      <c r="N63" s="448"/>
    </row>
    <row r="64" spans="2:14">
      <c r="B64" s="449" t="s">
        <v>366</v>
      </c>
      <c r="C64" s="568" t="s">
        <v>1008</v>
      </c>
      <c r="D64" s="377"/>
      <c r="E64" s="377"/>
      <c r="F64" s="377"/>
      <c r="G64" s="430"/>
      <c r="I64" s="444"/>
      <c r="J64" s="432"/>
      <c r="K64" s="437"/>
      <c r="L64" s="867"/>
    </row>
    <row r="65" spans="2:12">
      <c r="B65" s="421">
        <v>1</v>
      </c>
      <c r="C65" s="1114" t="str">
        <f>[80]Sheet1!$B$23</f>
        <v>Acess Point</v>
      </c>
      <c r="D65" s="377"/>
      <c r="E65" s="377"/>
      <c r="F65" s="377"/>
      <c r="G65" s="430"/>
      <c r="I65" s="436">
        <v>1</v>
      </c>
      <c r="J65" s="432">
        <f>[80]Sheet1!$D$23</f>
        <v>8500000</v>
      </c>
      <c r="K65" s="437">
        <f t="shared" ref="K65:K76" si="3">I65*J65</f>
        <v>8500000</v>
      </c>
      <c r="L65" s="842"/>
    </row>
    <row r="66" spans="2:12">
      <c r="B66" s="421">
        <f t="shared" ref="B66:B76" si="4">B65+1</f>
        <v>2</v>
      </c>
      <c r="C66" s="1114" t="str">
        <f>[80]Sheet1!$B$24</f>
        <v>Antena Omni</v>
      </c>
      <c r="D66" s="377"/>
      <c r="E66" s="377"/>
      <c r="F66" s="377"/>
      <c r="G66" s="430"/>
      <c r="I66" s="436">
        <v>1</v>
      </c>
      <c r="J66" s="432">
        <f>[80]Sheet1!$D$24</f>
        <v>10000000</v>
      </c>
      <c r="K66" s="437">
        <f t="shared" si="3"/>
        <v>10000000</v>
      </c>
      <c r="L66" s="842"/>
    </row>
    <row r="67" spans="2:12">
      <c r="B67" s="421">
        <f t="shared" si="4"/>
        <v>3</v>
      </c>
      <c r="C67" s="1114" t="str">
        <f>[80]Sheet1!$B$25</f>
        <v>Kabel Pigtail/Kabel Jumper</v>
      </c>
      <c r="D67" s="377"/>
      <c r="E67" s="377"/>
      <c r="F67" s="377"/>
      <c r="G67" s="430"/>
      <c r="I67" s="436">
        <v>1</v>
      </c>
      <c r="J67" s="432">
        <f>[80]Sheet1!$D$25</f>
        <v>500000</v>
      </c>
      <c r="K67" s="437">
        <f t="shared" si="3"/>
        <v>500000</v>
      </c>
      <c r="L67" s="842"/>
    </row>
    <row r="68" spans="2:12">
      <c r="B68" s="421">
        <f t="shared" si="4"/>
        <v>4</v>
      </c>
      <c r="C68" s="1114" t="str">
        <f>[80]Sheet1!$B$26</f>
        <v>POE (Power Over Ethernet)</v>
      </c>
      <c r="G68" s="435"/>
      <c r="I68" s="436">
        <v>1</v>
      </c>
      <c r="J68" s="432">
        <f>[80]Sheet1!$D$26</f>
        <v>2000000</v>
      </c>
      <c r="K68" s="437">
        <f t="shared" si="3"/>
        <v>2000000</v>
      </c>
      <c r="L68" s="842"/>
    </row>
    <row r="69" spans="2:12">
      <c r="B69" s="421">
        <f t="shared" si="4"/>
        <v>5</v>
      </c>
      <c r="C69" s="1114" t="str">
        <f>[80]Sheet1!$B$27</f>
        <v>Kabel UTP/STP</v>
      </c>
      <c r="G69" s="435"/>
      <c r="I69" s="436">
        <v>1</v>
      </c>
      <c r="J69" s="432">
        <f>[80]Sheet1!$D$27</f>
        <v>3000000</v>
      </c>
      <c r="K69" s="437">
        <f t="shared" si="3"/>
        <v>3000000</v>
      </c>
      <c r="L69" s="842"/>
    </row>
    <row r="70" spans="2:12">
      <c r="B70" s="421">
        <f t="shared" si="4"/>
        <v>6</v>
      </c>
      <c r="C70" s="1114" t="str">
        <f>[80]Sheet1!$B$28</f>
        <v>Penangkal Petir (Lightning Arrester)</v>
      </c>
      <c r="G70" s="435"/>
      <c r="I70" s="436">
        <v>1</v>
      </c>
      <c r="J70" s="432">
        <f>[80]Sheet1!$D$28</f>
        <v>3000000</v>
      </c>
      <c r="K70" s="437">
        <f t="shared" si="3"/>
        <v>3000000</v>
      </c>
      <c r="L70" s="842"/>
    </row>
    <row r="71" spans="2:12">
      <c r="B71" s="421">
        <f t="shared" si="4"/>
        <v>7</v>
      </c>
      <c r="C71" s="434"/>
      <c r="G71" s="435"/>
      <c r="I71" s="436">
        <v>0</v>
      </c>
      <c r="J71" s="432">
        <v>0</v>
      </c>
      <c r="K71" s="437">
        <f t="shared" si="3"/>
        <v>0</v>
      </c>
      <c r="L71" s="842"/>
    </row>
    <row r="72" spans="2:12">
      <c r="B72" s="421">
        <f t="shared" si="4"/>
        <v>8</v>
      </c>
      <c r="C72" s="434"/>
      <c r="G72" s="435"/>
      <c r="I72" s="436">
        <v>0</v>
      </c>
      <c r="J72" s="432">
        <v>0</v>
      </c>
      <c r="K72" s="437">
        <f t="shared" si="3"/>
        <v>0</v>
      </c>
      <c r="L72" s="842"/>
    </row>
    <row r="73" spans="2:12">
      <c r="B73" s="421">
        <f t="shared" si="4"/>
        <v>9</v>
      </c>
      <c r="C73" s="434"/>
      <c r="G73" s="435"/>
      <c r="I73" s="436">
        <v>0</v>
      </c>
      <c r="J73" s="432">
        <v>0</v>
      </c>
      <c r="K73" s="437">
        <f t="shared" si="3"/>
        <v>0</v>
      </c>
      <c r="L73" s="842"/>
    </row>
    <row r="74" spans="2:12">
      <c r="B74" s="421">
        <f t="shared" si="4"/>
        <v>10</v>
      </c>
      <c r="C74" s="434"/>
      <c r="G74" s="435"/>
      <c r="I74" s="436">
        <v>0</v>
      </c>
      <c r="J74" s="432">
        <v>0</v>
      </c>
      <c r="K74" s="437">
        <f t="shared" si="3"/>
        <v>0</v>
      </c>
      <c r="L74" s="842"/>
    </row>
    <row r="75" spans="2:12">
      <c r="B75" s="421">
        <f t="shared" si="4"/>
        <v>11</v>
      </c>
      <c r="C75" s="434"/>
      <c r="G75" s="435"/>
      <c r="I75" s="436">
        <v>0</v>
      </c>
      <c r="J75" s="432">
        <v>0</v>
      </c>
      <c r="K75" s="437">
        <f t="shared" si="3"/>
        <v>0</v>
      </c>
      <c r="L75" s="842">
        <f>52*31*1.3</f>
        <v>2095.6</v>
      </c>
    </row>
    <row r="76" spans="2:12">
      <c r="B76" s="421">
        <f t="shared" si="4"/>
        <v>12</v>
      </c>
      <c r="C76" s="434"/>
      <c r="G76" s="435"/>
      <c r="I76" s="436">
        <v>0</v>
      </c>
      <c r="J76" s="432">
        <v>0</v>
      </c>
      <c r="K76" s="437">
        <f t="shared" si="3"/>
        <v>0</v>
      </c>
      <c r="L76" s="842"/>
    </row>
    <row r="77" spans="2:12">
      <c r="B77" s="421"/>
      <c r="C77" s="434"/>
      <c r="G77" s="435"/>
      <c r="I77" s="436"/>
      <c r="J77" s="432"/>
      <c r="K77" s="437"/>
      <c r="L77" s="842"/>
    </row>
    <row r="78" spans="2:12">
      <c r="B78" s="421"/>
      <c r="C78" s="434"/>
      <c r="G78" s="435"/>
      <c r="I78" s="444"/>
      <c r="J78" s="439" t="s">
        <v>368</v>
      </c>
      <c r="K78" s="440">
        <f>SUM(K65:K76)</f>
        <v>27000000</v>
      </c>
      <c r="L78" s="843"/>
    </row>
    <row r="79" spans="2:12">
      <c r="B79" s="428" t="s">
        <v>369</v>
      </c>
      <c r="C79" s="568" t="s">
        <v>1009</v>
      </c>
      <c r="D79" s="377"/>
      <c r="E79" s="377"/>
      <c r="F79" s="377"/>
      <c r="G79" s="430"/>
      <c r="I79" s="444"/>
      <c r="J79" s="432"/>
      <c r="K79" s="437"/>
      <c r="L79" s="867"/>
    </row>
    <row r="80" spans="2:12">
      <c r="B80" s="438">
        <v>1</v>
      </c>
      <c r="C80" s="1114" t="str">
        <f>[80]Sheet1!$B$37</f>
        <v>Rumah Kabel</v>
      </c>
      <c r="G80" s="435"/>
      <c r="H80" s="272" t="s">
        <v>1014</v>
      </c>
      <c r="I80" s="436">
        <v>1</v>
      </c>
      <c r="J80" s="432">
        <f>[80]Sheet1!$D$37</f>
        <v>1500000</v>
      </c>
      <c r="K80" s="437">
        <f>I80*J80</f>
        <v>1500000</v>
      </c>
      <c r="L80" s="842"/>
    </row>
    <row r="81" spans="1:12">
      <c r="B81" s="421">
        <f>B80+1</f>
        <v>2</v>
      </c>
      <c r="C81" s="1114" t="str">
        <f>[80]Sheet1!$B$38</f>
        <v>paku-paku &amp; Klem</v>
      </c>
      <c r="G81" s="435"/>
      <c r="H81" s="272" t="s">
        <v>1015</v>
      </c>
      <c r="I81" s="436">
        <v>1</v>
      </c>
      <c r="J81" s="432">
        <f>[80]Sheet1!$D$38</f>
        <v>2000000</v>
      </c>
      <c r="K81" s="437">
        <f>I81*J81</f>
        <v>2000000</v>
      </c>
      <c r="L81" s="842"/>
    </row>
    <row r="82" spans="1:12">
      <c r="B82" s="421"/>
      <c r="C82" s="434"/>
      <c r="G82" s="435"/>
      <c r="I82" s="436"/>
      <c r="J82" s="432"/>
      <c r="K82" s="437"/>
      <c r="L82" s="842"/>
    </row>
    <row r="83" spans="1:12">
      <c r="B83" s="421"/>
      <c r="C83" s="434"/>
      <c r="G83" s="435"/>
      <c r="I83" s="444"/>
      <c r="J83" s="439" t="s">
        <v>371</v>
      </c>
      <c r="K83" s="440">
        <f>SUM(K80:K81)</f>
        <v>3500000</v>
      </c>
      <c r="L83" s="843"/>
    </row>
    <row r="84" spans="1:12">
      <c r="B84" s="449" t="s">
        <v>372</v>
      </c>
      <c r="C84" s="429" t="s">
        <v>1010</v>
      </c>
      <c r="D84" s="377"/>
      <c r="E84" s="377"/>
      <c r="F84" s="377"/>
      <c r="G84" s="430"/>
      <c r="I84" s="444"/>
      <c r="J84" s="432"/>
      <c r="K84" s="437"/>
      <c r="L84" s="867"/>
    </row>
    <row r="85" spans="1:12">
      <c r="B85" s="421">
        <v>1</v>
      </c>
      <c r="C85" s="434" t="str">
        <f>[80]Sheet1!$B$30</f>
        <v>Kabel Telepon outdoor</v>
      </c>
      <c r="G85" s="435"/>
      <c r="H85" s="272" t="s">
        <v>1006</v>
      </c>
      <c r="I85" s="436">
        <v>1</v>
      </c>
      <c r="J85" s="432">
        <f>[80]Sheet1!$D$30</f>
        <v>4500000</v>
      </c>
      <c r="K85" s="437">
        <f t="shared" ref="K85:K91" si="5">I85*J85</f>
        <v>4500000</v>
      </c>
      <c r="L85" s="842"/>
    </row>
    <row r="86" spans="1:12">
      <c r="B86" s="421">
        <f>B85+1</f>
        <v>2</v>
      </c>
      <c r="C86" s="1114" t="str">
        <f>[80]Sheet1!$B$31</f>
        <v>Kabel Telepon Indoor</v>
      </c>
      <c r="G86" s="435"/>
      <c r="H86" s="272" t="s">
        <v>1006</v>
      </c>
      <c r="I86" s="436">
        <v>1</v>
      </c>
      <c r="J86" s="432">
        <f>[80]Sheet1!$D$31</f>
        <v>4000000</v>
      </c>
      <c r="K86" s="437">
        <f t="shared" si="5"/>
        <v>4000000</v>
      </c>
      <c r="L86" s="842"/>
    </row>
    <row r="87" spans="1:12">
      <c r="B87" s="421">
        <f>B86+1</f>
        <v>3</v>
      </c>
      <c r="C87" s="1114" t="str">
        <f>[80]Sheet1!$B$32</f>
        <v>Box Telepon Konektor</v>
      </c>
      <c r="D87" s="451"/>
      <c r="E87" s="451"/>
      <c r="F87" s="451"/>
      <c r="G87" s="452"/>
      <c r="H87" s="272" t="s">
        <v>392</v>
      </c>
      <c r="I87" s="436">
        <v>1</v>
      </c>
      <c r="J87" s="432">
        <f>[80]Sheet1!$D$32</f>
        <v>6500000</v>
      </c>
      <c r="K87" s="437">
        <f t="shared" si="5"/>
        <v>6500000</v>
      </c>
      <c r="L87" s="842"/>
    </row>
    <row r="88" spans="1:12">
      <c r="B88" s="421">
        <f>B87+1</f>
        <v>4</v>
      </c>
      <c r="C88" s="1114" t="str">
        <f>[80]Sheet1!$B$33</f>
        <v>Kabel Protection ( Ugreen Cable Zipper Protection )</v>
      </c>
      <c r="G88" s="435"/>
      <c r="H88" s="272" t="s">
        <v>813</v>
      </c>
      <c r="I88" s="436">
        <v>1</v>
      </c>
      <c r="J88" s="432">
        <f>[80]Sheet1!$D$33</f>
        <v>200000</v>
      </c>
      <c r="K88" s="437">
        <f t="shared" si="5"/>
        <v>200000</v>
      </c>
      <c r="L88" s="867"/>
    </row>
    <row r="89" spans="1:12">
      <c r="B89" s="421">
        <f t="shared" ref="B89:B90" si="6">B88+1</f>
        <v>5</v>
      </c>
      <c r="C89" s="1114" t="str">
        <f>[80]Sheet1!$B$34</f>
        <v>Paku Klem</v>
      </c>
      <c r="G89" s="435"/>
      <c r="H89" s="272" t="s">
        <v>1015</v>
      </c>
      <c r="I89" s="436">
        <v>1</v>
      </c>
      <c r="J89" s="432">
        <f>[80]Sheet1!$D$34</f>
        <v>500000</v>
      </c>
      <c r="K89" s="437">
        <f t="shared" si="5"/>
        <v>500000</v>
      </c>
      <c r="L89" s="842"/>
    </row>
    <row r="90" spans="1:12">
      <c r="B90" s="421">
        <f t="shared" si="6"/>
        <v>6</v>
      </c>
      <c r="C90" s="1114" t="str">
        <f>[80]Sheet1!$B$35</f>
        <v>Peralatan kerja pabx</v>
      </c>
      <c r="G90" s="435"/>
      <c r="H90" s="272" t="s">
        <v>392</v>
      </c>
      <c r="I90" s="436">
        <v>1</v>
      </c>
      <c r="J90" s="432">
        <f>[80]Sheet1!$D$35</f>
        <v>2000000</v>
      </c>
      <c r="K90" s="437">
        <f t="shared" si="5"/>
        <v>2000000</v>
      </c>
      <c r="L90" s="842"/>
    </row>
    <row r="91" spans="1:12">
      <c r="B91" s="421"/>
      <c r="C91" s="434"/>
      <c r="G91" s="435"/>
      <c r="I91" s="436">
        <v>0</v>
      </c>
      <c r="J91" s="432">
        <v>0</v>
      </c>
      <c r="K91" s="437">
        <f t="shared" si="5"/>
        <v>0</v>
      </c>
      <c r="L91" s="842"/>
    </row>
    <row r="92" spans="1:12">
      <c r="B92" s="421"/>
      <c r="C92" s="434"/>
      <c r="G92" s="435"/>
      <c r="I92" s="444"/>
      <c r="J92" s="432"/>
      <c r="K92" s="437"/>
      <c r="L92" s="842"/>
    </row>
    <row r="93" spans="1:12">
      <c r="B93" s="421"/>
      <c r="C93" s="434"/>
      <c r="G93" s="435"/>
      <c r="I93" s="444"/>
      <c r="J93" s="439" t="s">
        <v>377</v>
      </c>
      <c r="K93" s="440">
        <f>SUM(K85:K92)</f>
        <v>17700000</v>
      </c>
      <c r="L93" s="843"/>
    </row>
    <row r="94" spans="1:12">
      <c r="A94" s="451"/>
      <c r="B94" s="428" t="s">
        <v>378</v>
      </c>
      <c r="C94" s="429" t="s">
        <v>62</v>
      </c>
      <c r="D94" s="377"/>
      <c r="E94" s="377"/>
      <c r="F94" s="377"/>
      <c r="G94" s="430"/>
      <c r="I94" s="444"/>
      <c r="J94" s="432"/>
      <c r="K94" s="437"/>
      <c r="L94" s="867"/>
    </row>
    <row r="95" spans="1:12">
      <c r="A95" s="451"/>
      <c r="B95" s="421">
        <v>1</v>
      </c>
      <c r="C95" s="434"/>
      <c r="G95" s="435"/>
      <c r="I95" s="436">
        <v>0</v>
      </c>
      <c r="J95" s="432">
        <v>0</v>
      </c>
      <c r="K95" s="437">
        <f t="shared" ref="K95:K112" si="7">I95*J95</f>
        <v>0</v>
      </c>
      <c r="L95" s="842"/>
    </row>
    <row r="96" spans="1:12">
      <c r="B96" s="421">
        <f t="shared" ref="B96:B112" si="8">B95+1</f>
        <v>2</v>
      </c>
      <c r="C96" s="434"/>
      <c r="G96" s="435"/>
      <c r="I96" s="436">
        <v>0</v>
      </c>
      <c r="J96" s="432">
        <v>0</v>
      </c>
      <c r="K96" s="437">
        <f t="shared" si="7"/>
        <v>0</v>
      </c>
      <c r="L96" s="842"/>
    </row>
    <row r="97" spans="1:12">
      <c r="B97" s="421">
        <f t="shared" si="8"/>
        <v>3</v>
      </c>
      <c r="C97" s="434"/>
      <c r="G97" s="435"/>
      <c r="I97" s="436">
        <v>0</v>
      </c>
      <c r="J97" s="432">
        <v>0</v>
      </c>
      <c r="K97" s="437">
        <f t="shared" si="7"/>
        <v>0</v>
      </c>
      <c r="L97" s="842"/>
    </row>
    <row r="98" spans="1:12">
      <c r="B98" s="421">
        <f t="shared" si="8"/>
        <v>4</v>
      </c>
      <c r="C98" s="434"/>
      <c r="G98" s="435"/>
      <c r="I98" s="436">
        <v>0</v>
      </c>
      <c r="J98" s="432">
        <v>0</v>
      </c>
      <c r="K98" s="437">
        <f t="shared" si="7"/>
        <v>0</v>
      </c>
      <c r="L98" s="842"/>
    </row>
    <row r="99" spans="1:12">
      <c r="B99" s="421">
        <f t="shared" si="8"/>
        <v>5</v>
      </c>
      <c r="C99" s="434"/>
      <c r="G99" s="435"/>
      <c r="I99" s="436">
        <v>0</v>
      </c>
      <c r="J99" s="432">
        <v>0</v>
      </c>
      <c r="K99" s="437">
        <f t="shared" si="7"/>
        <v>0</v>
      </c>
      <c r="L99" s="842"/>
    </row>
    <row r="100" spans="1:12">
      <c r="B100" s="421">
        <f t="shared" si="8"/>
        <v>6</v>
      </c>
      <c r="C100" s="434"/>
      <c r="G100" s="435"/>
      <c r="I100" s="436">
        <v>0</v>
      </c>
      <c r="J100" s="432">
        <v>0</v>
      </c>
      <c r="K100" s="437">
        <f t="shared" si="7"/>
        <v>0</v>
      </c>
      <c r="L100" s="842"/>
    </row>
    <row r="101" spans="1:12">
      <c r="B101" s="421">
        <f t="shared" si="8"/>
        <v>7</v>
      </c>
      <c r="C101" s="434"/>
      <c r="G101" s="435"/>
      <c r="I101" s="436">
        <v>0</v>
      </c>
      <c r="J101" s="432">
        <v>0</v>
      </c>
      <c r="K101" s="437">
        <f t="shared" si="7"/>
        <v>0</v>
      </c>
      <c r="L101" s="842"/>
    </row>
    <row r="102" spans="1:12">
      <c r="B102" s="421">
        <f t="shared" si="8"/>
        <v>8</v>
      </c>
      <c r="C102" s="434"/>
      <c r="G102" s="435"/>
      <c r="I102" s="436">
        <v>0</v>
      </c>
      <c r="J102" s="432">
        <v>0</v>
      </c>
      <c r="K102" s="437">
        <f t="shared" si="7"/>
        <v>0</v>
      </c>
      <c r="L102" s="842"/>
    </row>
    <row r="103" spans="1:12">
      <c r="B103" s="421">
        <f t="shared" si="8"/>
        <v>9</v>
      </c>
      <c r="C103" s="434"/>
      <c r="G103" s="435"/>
      <c r="I103" s="436">
        <v>0</v>
      </c>
      <c r="J103" s="432">
        <v>0</v>
      </c>
      <c r="K103" s="437">
        <f t="shared" si="7"/>
        <v>0</v>
      </c>
      <c r="L103" s="842"/>
    </row>
    <row r="104" spans="1:12">
      <c r="A104" s="451"/>
      <c r="B104" s="421">
        <f t="shared" si="8"/>
        <v>10</v>
      </c>
      <c r="C104" s="434"/>
      <c r="G104" s="435"/>
      <c r="I104" s="436">
        <v>0</v>
      </c>
      <c r="J104" s="432">
        <v>0</v>
      </c>
      <c r="K104" s="437">
        <f t="shared" si="7"/>
        <v>0</v>
      </c>
      <c r="L104" s="842"/>
    </row>
    <row r="105" spans="1:12">
      <c r="A105" s="451"/>
      <c r="B105" s="421">
        <f t="shared" si="8"/>
        <v>11</v>
      </c>
      <c r="C105" s="434"/>
      <c r="G105" s="435"/>
      <c r="I105" s="436">
        <v>0</v>
      </c>
      <c r="J105" s="432">
        <v>0</v>
      </c>
      <c r="K105" s="437">
        <f t="shared" si="7"/>
        <v>0</v>
      </c>
      <c r="L105" s="842"/>
    </row>
    <row r="106" spans="1:12">
      <c r="A106" s="451"/>
      <c r="B106" s="421">
        <f t="shared" si="8"/>
        <v>12</v>
      </c>
      <c r="C106" s="434"/>
      <c r="G106" s="435"/>
      <c r="I106" s="436">
        <v>0</v>
      </c>
      <c r="J106" s="432">
        <v>0</v>
      </c>
      <c r="K106" s="437">
        <f t="shared" si="7"/>
        <v>0</v>
      </c>
      <c r="L106" s="842"/>
    </row>
    <row r="107" spans="1:12" ht="14.25" customHeight="1">
      <c r="A107" s="451"/>
      <c r="B107" s="421">
        <f t="shared" si="8"/>
        <v>13</v>
      </c>
      <c r="C107" s="434"/>
      <c r="G107" s="435"/>
      <c r="I107" s="436">
        <v>0</v>
      </c>
      <c r="J107" s="432">
        <v>0</v>
      </c>
      <c r="K107" s="437">
        <f t="shared" si="7"/>
        <v>0</v>
      </c>
      <c r="L107" s="842"/>
    </row>
    <row r="108" spans="1:12">
      <c r="A108" s="451"/>
      <c r="B108" s="421">
        <f t="shared" si="8"/>
        <v>14</v>
      </c>
      <c r="C108" s="434"/>
      <c r="G108" s="435"/>
      <c r="I108" s="436">
        <v>0</v>
      </c>
      <c r="J108" s="432">
        <v>0</v>
      </c>
      <c r="K108" s="437">
        <f t="shared" si="7"/>
        <v>0</v>
      </c>
      <c r="L108" s="842"/>
    </row>
    <row r="109" spans="1:12">
      <c r="A109" s="451"/>
      <c r="B109" s="421">
        <f t="shared" si="8"/>
        <v>15</v>
      </c>
      <c r="C109" s="434"/>
      <c r="G109" s="435"/>
      <c r="I109" s="436">
        <v>0</v>
      </c>
      <c r="J109" s="432">
        <v>0</v>
      </c>
      <c r="K109" s="437">
        <f t="shared" si="7"/>
        <v>0</v>
      </c>
      <c r="L109" s="842"/>
    </row>
    <row r="110" spans="1:12">
      <c r="A110" s="451"/>
      <c r="B110" s="421">
        <f t="shared" si="8"/>
        <v>16</v>
      </c>
      <c r="C110" s="434"/>
      <c r="G110" s="435"/>
      <c r="I110" s="436">
        <v>0</v>
      </c>
      <c r="J110" s="432">
        <v>0</v>
      </c>
      <c r="K110" s="437">
        <f t="shared" si="7"/>
        <v>0</v>
      </c>
      <c r="L110" s="842"/>
    </row>
    <row r="111" spans="1:12">
      <c r="A111" s="451"/>
      <c r="B111" s="421">
        <f t="shared" si="8"/>
        <v>17</v>
      </c>
      <c r="C111" s="434"/>
      <c r="G111" s="435"/>
      <c r="I111" s="436">
        <v>0</v>
      </c>
      <c r="J111" s="432">
        <v>0</v>
      </c>
      <c r="K111" s="437">
        <f t="shared" si="7"/>
        <v>0</v>
      </c>
      <c r="L111" s="842"/>
    </row>
    <row r="112" spans="1:12">
      <c r="B112" s="421">
        <f t="shared" si="8"/>
        <v>18</v>
      </c>
      <c r="C112" s="434"/>
      <c r="G112" s="435"/>
      <c r="I112" s="436">
        <v>0</v>
      </c>
      <c r="J112" s="432">
        <v>0</v>
      </c>
      <c r="K112" s="437">
        <f t="shared" si="7"/>
        <v>0</v>
      </c>
      <c r="L112" s="842"/>
    </row>
    <row r="113" spans="1:18">
      <c r="B113" s="421"/>
      <c r="C113" s="434"/>
      <c r="G113" s="435"/>
      <c r="I113" s="436"/>
      <c r="J113" s="432"/>
      <c r="K113" s="437"/>
      <c r="L113" s="842"/>
    </row>
    <row r="114" spans="1:18">
      <c r="B114" s="421"/>
      <c r="C114" s="434"/>
      <c r="G114" s="435"/>
      <c r="I114" s="444"/>
      <c r="J114" s="439" t="s">
        <v>383</v>
      </c>
      <c r="K114" s="440">
        <f>SUM(K95:K112)</f>
        <v>0</v>
      </c>
      <c r="L114" s="843"/>
    </row>
    <row r="115" spans="1:18">
      <c r="B115" s="428" t="s">
        <v>384</v>
      </c>
      <c r="C115" s="429" t="s">
        <v>62</v>
      </c>
      <c r="D115" s="377"/>
      <c r="E115" s="377"/>
      <c r="F115" s="377"/>
      <c r="G115" s="430"/>
      <c r="I115" s="444"/>
      <c r="J115" s="432"/>
      <c r="K115" s="437"/>
      <c r="L115" s="867"/>
    </row>
    <row r="116" spans="1:18">
      <c r="B116" s="421">
        <v>1</v>
      </c>
      <c r="C116" s="434"/>
      <c r="G116" s="435"/>
      <c r="I116" s="436">
        <f>I59</f>
        <v>0</v>
      </c>
      <c r="J116" s="432">
        <v>0</v>
      </c>
      <c r="K116" s="437">
        <f>I116*J116</f>
        <v>0</v>
      </c>
      <c r="L116" s="842"/>
    </row>
    <row r="117" spans="1:18">
      <c r="B117" s="421">
        <v>2</v>
      </c>
      <c r="C117" s="434"/>
      <c r="G117" s="435"/>
      <c r="I117" s="436">
        <v>0</v>
      </c>
      <c r="J117" s="432">
        <v>0</v>
      </c>
      <c r="K117" s="437">
        <f>I117*J117</f>
        <v>0</v>
      </c>
      <c r="L117" s="842"/>
    </row>
    <row r="118" spans="1:18">
      <c r="B118" s="421"/>
      <c r="C118" s="434"/>
      <c r="G118" s="435"/>
      <c r="I118" s="444"/>
      <c r="J118" s="432"/>
      <c r="K118" s="437"/>
      <c r="L118" s="842"/>
    </row>
    <row r="119" spans="1:18">
      <c r="B119" s="421"/>
      <c r="C119" s="434"/>
      <c r="G119" s="435"/>
      <c r="I119" s="444"/>
      <c r="J119" s="439" t="s">
        <v>388</v>
      </c>
      <c r="K119" s="440">
        <f>SUM(K116:K118)</f>
        <v>0</v>
      </c>
      <c r="L119" s="843"/>
      <c r="M119" s="448"/>
      <c r="O119" s="448"/>
    </row>
    <row r="120" spans="1:18">
      <c r="A120" s="451"/>
      <c r="B120" s="428" t="s">
        <v>389</v>
      </c>
      <c r="C120" s="429" t="s">
        <v>62</v>
      </c>
      <c r="D120" s="377"/>
      <c r="E120" s="377"/>
      <c r="F120" s="377"/>
      <c r="G120" s="430"/>
      <c r="I120" s="444"/>
      <c r="J120" s="432"/>
      <c r="K120" s="437"/>
      <c r="L120" s="867"/>
    </row>
    <row r="121" spans="1:18">
      <c r="B121" s="421">
        <v>1</v>
      </c>
      <c r="C121" s="434"/>
      <c r="G121" s="435"/>
      <c r="I121" s="453">
        <v>0</v>
      </c>
      <c r="J121" s="432">
        <v>0</v>
      </c>
      <c r="K121" s="437">
        <f>J121*I121</f>
        <v>0</v>
      </c>
      <c r="L121" s="842"/>
      <c r="M121" s="434"/>
      <c r="P121" s="272"/>
      <c r="Q121" s="453"/>
      <c r="R121" s="432"/>
    </row>
    <row r="122" spans="1:18">
      <c r="B122" s="421">
        <v>2</v>
      </c>
      <c r="C122" s="434"/>
      <c r="G122" s="435"/>
      <c r="I122" s="453">
        <v>0</v>
      </c>
      <c r="J122" s="432">
        <v>0</v>
      </c>
      <c r="K122" s="437">
        <f>J122*I122</f>
        <v>0</v>
      </c>
      <c r="L122" s="842"/>
      <c r="M122" s="434"/>
      <c r="P122" s="272"/>
      <c r="Q122" s="453"/>
      <c r="R122" s="432"/>
    </row>
    <row r="123" spans="1:18">
      <c r="B123" s="421">
        <v>3</v>
      </c>
      <c r="C123" s="434"/>
      <c r="G123" s="435"/>
      <c r="I123" s="453">
        <v>0</v>
      </c>
      <c r="J123" s="432">
        <v>0</v>
      </c>
      <c r="K123" s="437">
        <f>J123*I123</f>
        <v>0</v>
      </c>
      <c r="L123" s="842"/>
      <c r="M123" s="434"/>
      <c r="P123" s="272"/>
      <c r="Q123" s="453"/>
      <c r="R123" s="432"/>
    </row>
    <row r="124" spans="1:18">
      <c r="B124" s="438">
        <v>4</v>
      </c>
      <c r="C124" s="434"/>
      <c r="G124" s="435"/>
      <c r="I124" s="453">
        <v>0</v>
      </c>
      <c r="J124" s="432">
        <v>0</v>
      </c>
      <c r="K124" s="437">
        <f>J124*I124</f>
        <v>0</v>
      </c>
      <c r="L124" s="842"/>
      <c r="M124" s="434"/>
      <c r="P124" s="272"/>
      <c r="Q124" s="453"/>
      <c r="R124" s="432"/>
    </row>
    <row r="125" spans="1:18">
      <c r="B125" s="438"/>
      <c r="C125" s="434"/>
      <c r="G125" s="435"/>
      <c r="I125" s="444"/>
      <c r="J125" s="432"/>
      <c r="K125" s="437"/>
      <c r="L125" s="867"/>
    </row>
    <row r="126" spans="1:18">
      <c r="B126" s="421"/>
      <c r="C126" s="434"/>
      <c r="G126" s="435"/>
      <c r="I126" s="444"/>
      <c r="J126" s="439" t="s">
        <v>394</v>
      </c>
      <c r="K126" s="440">
        <f>SUM(K121:K125)</f>
        <v>0</v>
      </c>
      <c r="L126" s="843"/>
    </row>
    <row r="127" spans="1:18">
      <c r="B127" s="428" t="s">
        <v>395</v>
      </c>
      <c r="C127" s="429" t="s">
        <v>62</v>
      </c>
      <c r="G127" s="435"/>
      <c r="I127" s="444"/>
      <c r="J127" s="439"/>
      <c r="K127" s="440"/>
      <c r="L127" s="843"/>
    </row>
    <row r="128" spans="1:18">
      <c r="B128" s="421">
        <v>1</v>
      </c>
      <c r="C128" s="434"/>
      <c r="G128" s="435"/>
      <c r="I128" s="453">
        <v>0</v>
      </c>
      <c r="J128" s="432">
        <v>0</v>
      </c>
      <c r="K128" s="437">
        <v>0</v>
      </c>
      <c r="L128" s="843"/>
    </row>
    <row r="129" spans="2:12">
      <c r="B129" s="421">
        <f>B128+1</f>
        <v>2</v>
      </c>
      <c r="C129" s="434"/>
      <c r="G129" s="435"/>
      <c r="I129" s="453">
        <v>0</v>
      </c>
      <c r="J129" s="432">
        <v>0</v>
      </c>
      <c r="K129" s="437">
        <v>0</v>
      </c>
      <c r="L129" s="843"/>
    </row>
    <row r="130" spans="2:12">
      <c r="B130" s="421">
        <f>B129+1</f>
        <v>3</v>
      </c>
      <c r="C130" s="434"/>
      <c r="G130" s="435"/>
      <c r="I130" s="453">
        <v>0</v>
      </c>
      <c r="J130" s="432">
        <v>0</v>
      </c>
      <c r="K130" s="437">
        <v>0</v>
      </c>
      <c r="L130" s="843"/>
    </row>
    <row r="131" spans="2:12">
      <c r="B131" s="421">
        <f>B130+1</f>
        <v>4</v>
      </c>
      <c r="C131" s="434"/>
      <c r="G131" s="435"/>
      <c r="I131" s="453">
        <v>0</v>
      </c>
      <c r="J131" s="432">
        <v>0</v>
      </c>
      <c r="K131" s="437">
        <v>0</v>
      </c>
      <c r="L131" s="843"/>
    </row>
    <row r="132" spans="2:12">
      <c r="B132" s="421">
        <f>B131+1</f>
        <v>5</v>
      </c>
      <c r="C132" s="434"/>
      <c r="G132" s="435"/>
      <c r="I132" s="453">
        <v>0</v>
      </c>
      <c r="J132" s="432">
        <v>0</v>
      </c>
      <c r="K132" s="437">
        <v>0</v>
      </c>
      <c r="L132" s="843"/>
    </row>
    <row r="133" spans="2:12">
      <c r="B133" s="421">
        <f>B132+1</f>
        <v>6</v>
      </c>
      <c r="C133" s="434"/>
      <c r="G133" s="435"/>
      <c r="I133" s="453">
        <v>0</v>
      </c>
      <c r="J133" s="432">
        <v>0</v>
      </c>
      <c r="K133" s="437">
        <v>0</v>
      </c>
      <c r="L133" s="843"/>
    </row>
    <row r="134" spans="2:12">
      <c r="B134" s="421"/>
      <c r="C134" s="434"/>
      <c r="G134" s="435"/>
      <c r="I134" s="444"/>
      <c r="J134" s="439"/>
      <c r="K134" s="440"/>
      <c r="L134" s="843"/>
    </row>
    <row r="135" spans="2:12">
      <c r="B135" s="421"/>
      <c r="C135" s="434"/>
      <c r="G135" s="435"/>
      <c r="I135" s="444"/>
      <c r="J135" s="439" t="s">
        <v>500</v>
      </c>
      <c r="K135" s="440">
        <f>SUM(K128:K134)</f>
        <v>0</v>
      </c>
      <c r="L135" s="843"/>
    </row>
    <row r="136" spans="2:12">
      <c r="B136" s="428" t="s">
        <v>404</v>
      </c>
      <c r="C136" s="429" t="s">
        <v>62</v>
      </c>
      <c r="D136" s="377"/>
      <c r="E136" s="377"/>
      <c r="F136" s="377"/>
      <c r="G136" s="430"/>
      <c r="I136" s="444"/>
      <c r="J136" s="432"/>
      <c r="K136" s="437"/>
      <c r="L136" s="867"/>
    </row>
    <row r="137" spans="2:12">
      <c r="B137" s="871">
        <v>1</v>
      </c>
      <c r="G137" s="435"/>
      <c r="I137" s="436">
        <v>0</v>
      </c>
      <c r="J137" s="432">
        <v>0</v>
      </c>
      <c r="K137" s="437">
        <f>I137*J137</f>
        <v>0</v>
      </c>
      <c r="L137" s="842"/>
    </row>
    <row r="138" spans="2:12">
      <c r="B138" s="871">
        <f>B137+1</f>
        <v>2</v>
      </c>
      <c r="G138" s="435"/>
      <c r="I138" s="436">
        <v>0</v>
      </c>
      <c r="J138" s="432">
        <v>0</v>
      </c>
      <c r="K138" s="437">
        <f>I138*J138</f>
        <v>0</v>
      </c>
      <c r="L138" s="842"/>
    </row>
    <row r="139" spans="2:12">
      <c r="B139" s="871">
        <f>B138+1</f>
        <v>3</v>
      </c>
      <c r="G139" s="435"/>
      <c r="I139" s="436">
        <v>0</v>
      </c>
      <c r="J139" s="432">
        <v>0</v>
      </c>
      <c r="K139" s="437">
        <f>I139*J139</f>
        <v>0</v>
      </c>
      <c r="L139" s="842"/>
    </row>
    <row r="140" spans="2:12">
      <c r="B140" s="871">
        <f>B139+1</f>
        <v>4</v>
      </c>
      <c r="G140" s="435"/>
      <c r="I140" s="436">
        <v>0</v>
      </c>
      <c r="J140" s="432">
        <v>0</v>
      </c>
      <c r="K140" s="437">
        <f>I140*J140</f>
        <v>0</v>
      </c>
      <c r="L140" s="842"/>
    </row>
    <row r="141" spans="2:12">
      <c r="B141" s="871">
        <f>B140+1</f>
        <v>5</v>
      </c>
      <c r="G141" s="435"/>
      <c r="I141" s="436">
        <v>0</v>
      </c>
      <c r="J141" s="432">
        <v>0</v>
      </c>
      <c r="K141" s="437">
        <f>I141*J141</f>
        <v>0</v>
      </c>
      <c r="L141" s="842"/>
    </row>
    <row r="142" spans="2:12">
      <c r="B142" s="871"/>
      <c r="G142" s="435"/>
      <c r="I142" s="436"/>
      <c r="J142" s="432"/>
      <c r="K142" s="437"/>
      <c r="L142" s="842"/>
    </row>
    <row r="143" spans="2:12">
      <c r="B143" s="871"/>
      <c r="G143" s="435"/>
      <c r="I143" s="436"/>
      <c r="J143" s="439" t="s">
        <v>500</v>
      </c>
      <c r="K143" s="440">
        <f>SUM(K137:K141)</f>
        <v>0</v>
      </c>
      <c r="L143" s="843"/>
    </row>
    <row r="144" spans="2:12" ht="16.5" thickBot="1">
      <c r="B144" s="459"/>
      <c r="C144" s="460"/>
      <c r="D144" s="461"/>
      <c r="E144" s="461"/>
      <c r="F144" s="461"/>
      <c r="G144" s="462"/>
      <c r="H144" s="463"/>
      <c r="I144" s="464"/>
      <c r="J144" s="465"/>
      <c r="K144" s="466"/>
      <c r="L144" s="843"/>
    </row>
    <row r="145" spans="2:12">
      <c r="B145" s="421"/>
      <c r="C145" s="434"/>
      <c r="G145" s="435"/>
      <c r="I145" s="436"/>
      <c r="J145" s="432"/>
      <c r="K145" s="440"/>
      <c r="L145" s="843"/>
    </row>
    <row r="146" spans="2:12">
      <c r="B146" s="421"/>
      <c r="C146" s="434"/>
      <c r="G146" s="435"/>
      <c r="I146" s="436"/>
      <c r="J146" s="439" t="s">
        <v>410</v>
      </c>
      <c r="K146" s="467">
        <f>SUM(K13:K143)/2</f>
        <v>89100000</v>
      </c>
      <c r="L146" s="848"/>
    </row>
    <row r="147" spans="2:12" ht="16.5" thickBot="1">
      <c r="B147" s="468"/>
      <c r="C147" s="469"/>
      <c r="D147" s="470"/>
      <c r="E147" s="470"/>
      <c r="F147" s="470"/>
      <c r="G147" s="471"/>
      <c r="H147" s="472"/>
      <c r="I147" s="473"/>
      <c r="J147" s="474"/>
      <c r="K147" s="475"/>
      <c r="L147" s="867"/>
    </row>
    <row r="148" spans="2:12" ht="16.5" thickTop="1">
      <c r="I148" s="476"/>
      <c r="J148" s="477"/>
      <c r="K148" s="479"/>
      <c r="L148" s="867"/>
    </row>
    <row r="149" spans="2:12">
      <c r="I149" s="476"/>
      <c r="J149" s="477"/>
      <c r="K149" s="478"/>
      <c r="L149" s="867"/>
    </row>
    <row r="150" spans="2:12">
      <c r="I150" s="476"/>
      <c r="J150" s="477"/>
      <c r="K150" s="479"/>
      <c r="L150" s="867"/>
    </row>
    <row r="151" spans="2:12">
      <c r="I151" s="476"/>
      <c r="J151" s="477"/>
      <c r="K151" s="478"/>
      <c r="L151" s="867"/>
    </row>
    <row r="152" spans="2:12">
      <c r="I152" s="476"/>
      <c r="J152" s="477"/>
      <c r="K152" s="479"/>
      <c r="L152" s="867"/>
    </row>
    <row r="153" spans="2:12">
      <c r="I153" s="476"/>
      <c r="J153" s="477"/>
      <c r="K153" s="479"/>
      <c r="L153" s="867"/>
    </row>
    <row r="154" spans="2:12">
      <c r="I154" s="476"/>
      <c r="J154" s="477"/>
      <c r="K154" s="479"/>
      <c r="L154" s="867"/>
    </row>
    <row r="155" spans="2:12">
      <c r="I155" s="476"/>
      <c r="J155" s="477"/>
      <c r="K155" s="479"/>
      <c r="L155" s="867"/>
    </row>
    <row r="156" spans="2:12">
      <c r="I156" s="476"/>
      <c r="J156" s="477"/>
      <c r="K156" s="479"/>
      <c r="L156" s="867"/>
    </row>
    <row r="157" spans="2:12">
      <c r="I157" s="476"/>
      <c r="J157" s="477"/>
      <c r="K157" s="479"/>
      <c r="L157" s="867"/>
    </row>
    <row r="158" spans="2:12">
      <c r="I158" s="476"/>
      <c r="J158" s="477"/>
      <c r="K158" s="479"/>
      <c r="L158" s="867"/>
    </row>
    <row r="159" spans="2:12">
      <c r="I159" s="476"/>
      <c r="J159" s="477"/>
      <c r="K159" s="479"/>
      <c r="L159" s="867"/>
    </row>
    <row r="160" spans="2:12">
      <c r="I160" s="476"/>
      <c r="J160" s="477"/>
      <c r="K160" s="479"/>
      <c r="L160" s="867"/>
    </row>
    <row r="162" spans="8:8">
      <c r="H162" s="417"/>
    </row>
    <row r="167" spans="8:8">
      <c r="H167" s="482"/>
    </row>
  </sheetData>
  <mergeCells count="2">
    <mergeCell ref="I7:K7"/>
    <mergeCell ref="L9:L10"/>
  </mergeCells>
  <phoneticPr fontId="99" type="noConversion"/>
  <pageMargins left="0.7" right="0.7" top="0.75" bottom="0.75" header="0.3" footer="0.3"/>
  <pageSetup paperSize="9" orientation="portrait" horizontalDpi="0" verticalDpi="0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C03E64-5F8B-4C2C-8BDE-8E2226BD3220}">
  <sheetPr>
    <tabColor rgb="FFFFFF00"/>
    <pageSetUpPr fitToPage="1"/>
  </sheetPr>
  <dimension ref="A2:L34"/>
  <sheetViews>
    <sheetView topLeftCell="A16" workbookViewId="0">
      <selection activeCell="H31" sqref="H31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928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927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Toilet 30m2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tr">
        <f>BQToilet30!C12</f>
        <v>PEKERJAAN PERSIAPAN &amp; PENYELESAIAN</v>
      </c>
      <c r="D14" s="58"/>
      <c r="E14" s="58"/>
      <c r="F14" s="58"/>
      <c r="G14" s="58"/>
      <c r="H14" s="483">
        <f>BQToilet30!K18</f>
        <v>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tr">
        <f>BQToilet30!C19</f>
        <v>PEKERJAAN LAN</v>
      </c>
      <c r="D15" s="58"/>
      <c r="E15" s="58"/>
      <c r="F15" s="58"/>
      <c r="G15" s="58"/>
      <c r="H15" s="483">
        <f>BQToilet30!K26</f>
        <v>0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tr">
        <f>BQToilet30!C27</f>
        <v>PEKERJAAN CCTV</v>
      </c>
      <c r="D16" s="58"/>
      <c r="E16" s="58"/>
      <c r="F16" s="58"/>
      <c r="G16" s="58"/>
      <c r="H16" s="483">
        <f>BQToilet30!K37</f>
        <v>0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tr">
        <f>BQToilet30!C38</f>
        <v>PEKERJAAN WIFI</v>
      </c>
      <c r="D17" s="58"/>
      <c r="E17" s="58"/>
      <c r="F17" s="58"/>
      <c r="G17" s="58"/>
      <c r="H17" s="483">
        <f>BQToilet30!K46</f>
        <v>0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tr">
        <f>BQToilet30!C47</f>
        <v>PEKERJAAN PABX</v>
      </c>
      <c r="D18" s="58"/>
      <c r="E18" s="58"/>
      <c r="F18" s="58"/>
      <c r="G18" s="58"/>
      <c r="H18" s="483">
        <f>BQToilet30!K55</f>
        <v>0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tr">
        <f>BQToilet30!C56</f>
        <v>MATERIAL TAMBAHAN</v>
      </c>
      <c r="D19" s="58"/>
      <c r="E19" s="58"/>
      <c r="F19" s="58"/>
      <c r="G19" s="58"/>
      <c r="H19" s="483">
        <f>BQToilet30!K60</f>
        <v>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tr">
        <f>BQToilet30!C62</f>
        <v>-</v>
      </c>
      <c r="D20" s="58"/>
      <c r="E20" s="58"/>
      <c r="F20" s="58"/>
      <c r="G20" s="58"/>
      <c r="H20" s="483">
        <f>BQToilet30!K65</f>
        <v>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tr">
        <f>BQToilet30!C66</f>
        <v>-</v>
      </c>
      <c r="D21" s="58"/>
      <c r="E21" s="58"/>
      <c r="F21" s="58"/>
      <c r="G21" s="58"/>
      <c r="H21" s="483">
        <f>BQToilet30!K72</f>
        <v>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tr">
        <f>BQToilet30!C73</f>
        <v>-</v>
      </c>
      <c r="D22" s="58"/>
      <c r="E22" s="58"/>
      <c r="F22" s="58"/>
      <c r="G22" s="58"/>
      <c r="H22" s="483">
        <f>BQToilet30!K76</f>
        <v>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tr">
        <f>BQToilet30!C77</f>
        <v>-</v>
      </c>
      <c r="D23" s="58"/>
      <c r="E23" s="58"/>
      <c r="F23" s="58"/>
      <c r="G23" s="58"/>
      <c r="H23" s="483">
        <f>BQToilet30!K81</f>
        <v>0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tr">
        <f>BQToilet30!C82</f>
        <v>-</v>
      </c>
      <c r="D24" s="58"/>
      <c r="E24" s="58"/>
      <c r="F24" s="58"/>
      <c r="G24" s="58"/>
      <c r="H24" s="483">
        <f>BQToilet30!K87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tr">
        <f>BQToilet30!C88</f>
        <v>-</v>
      </c>
      <c r="D25" s="58"/>
      <c r="E25" s="58"/>
      <c r="F25" s="58"/>
      <c r="G25" s="58"/>
      <c r="H25" s="483">
        <f>BQToilet30!K96</f>
        <v>0</v>
      </c>
      <c r="I25" s="39"/>
      <c r="J25" s="39"/>
      <c r="K25" s="39"/>
      <c r="L25" s="39"/>
    </row>
    <row r="26" spans="1:12" s="60" customFormat="1">
      <c r="A26" s="39"/>
      <c r="B26" s="55" t="s">
        <v>37</v>
      </c>
      <c r="C26" s="56" t="str">
        <f>BQToilet30!C97</f>
        <v>-</v>
      </c>
      <c r="D26" s="58"/>
      <c r="E26" s="58"/>
      <c r="F26" s="58"/>
      <c r="G26" s="58"/>
      <c r="H26" s="483">
        <f>BQToilet30!K104</f>
        <v>0</v>
      </c>
      <c r="I26" s="39"/>
      <c r="J26" s="39"/>
      <c r="K26" s="39"/>
      <c r="L26" s="39"/>
    </row>
    <row r="27" spans="1:12" ht="16.5" thickBot="1">
      <c r="B27" s="69"/>
      <c r="C27" s="70"/>
      <c r="D27" s="70"/>
      <c r="E27" s="70"/>
      <c r="F27" s="70"/>
      <c r="G27" s="70"/>
      <c r="H27" s="484"/>
    </row>
    <row r="28" spans="1:12" ht="17.25" thickTop="1" thickBot="1">
      <c r="B28" s="72"/>
      <c r="C28" s="73"/>
      <c r="D28" s="73"/>
      <c r="E28" s="73"/>
      <c r="F28" s="74" t="s">
        <v>41</v>
      </c>
      <c r="G28" s="74"/>
      <c r="H28" s="75">
        <f>SUM(H14:H27)</f>
        <v>0</v>
      </c>
    </row>
    <row r="29" spans="1:12" ht="16.5" thickTop="1">
      <c r="B29" s="76"/>
      <c r="C29" s="77"/>
      <c r="D29" s="77"/>
      <c r="E29" s="77"/>
      <c r="F29" s="77"/>
      <c r="G29" s="77"/>
      <c r="H29" s="78"/>
    </row>
    <row r="30" spans="1:12">
      <c r="B30" s="79"/>
      <c r="C30" s="56"/>
      <c r="D30" s="56"/>
      <c r="E30" s="58"/>
      <c r="F30" s="40" t="s">
        <v>5</v>
      </c>
      <c r="G30" s="43">
        <v>4</v>
      </c>
      <c r="H30" s="715">
        <f>G30*H28</f>
        <v>0</v>
      </c>
    </row>
    <row r="31" spans="1:12">
      <c r="B31" s="81"/>
      <c r="C31" s="41"/>
      <c r="E31" s="44"/>
      <c r="H31" s="82"/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EB9ED6-63F5-44C6-99B5-EADA8BF3BBC9}">
  <dimension ref="A1:P131"/>
  <sheetViews>
    <sheetView topLeftCell="A58" zoomScale="85" zoomScaleNormal="85" workbookViewId="0">
      <selection activeCell="I82" sqref="I82"/>
    </sheetView>
  </sheetViews>
  <sheetFormatPr defaultColWidth="9.140625" defaultRowHeight="15.75"/>
  <cols>
    <col min="1" max="1" width="9.140625" style="814"/>
    <col min="2" max="2" width="6.42578125" style="814" customWidth="1"/>
    <col min="3" max="7" width="10.7109375" style="814" customWidth="1"/>
    <col min="8" max="8" width="7.42578125" style="815" bestFit="1" customWidth="1"/>
    <col min="9" max="9" width="9.42578125" style="814" customWidth="1"/>
    <col min="10" max="10" width="12.85546875" style="416" bestFit="1" customWidth="1"/>
    <col min="11" max="11" width="15.5703125" style="814" customWidth="1"/>
    <col min="12" max="12" width="9.28515625" style="814" customWidth="1"/>
    <col min="13" max="15" width="9.140625" style="814"/>
    <col min="16" max="16" width="14.140625" style="814" customWidth="1"/>
    <col min="17" max="17" width="11" style="814" bestFit="1" customWidth="1"/>
    <col min="18" max="19" width="9.140625" style="814"/>
    <col min="20" max="20" width="15.28515625" style="814" customWidth="1"/>
    <col min="21" max="16384" width="9.140625" style="814"/>
  </cols>
  <sheetData>
    <row r="1" spans="2:14">
      <c r="B1" s="414"/>
      <c r="C1" s="415"/>
      <c r="D1" s="415"/>
      <c r="E1" s="415"/>
      <c r="F1" s="415"/>
      <c r="G1" s="415"/>
      <c r="H1" s="415"/>
      <c r="I1" s="415"/>
      <c r="J1" s="415"/>
      <c r="K1" s="272"/>
      <c r="L1" s="481"/>
      <c r="M1" s="416"/>
      <c r="N1" s="415"/>
    </row>
    <row r="2" spans="2:14">
      <c r="B2" s="414"/>
      <c r="C2" s="414"/>
      <c r="D2" s="414"/>
      <c r="E2" s="414"/>
      <c r="F2" s="414"/>
      <c r="G2" s="414"/>
      <c r="H2" s="414"/>
      <c r="I2" s="414"/>
      <c r="J2" s="414"/>
      <c r="K2" s="417"/>
      <c r="L2" s="987"/>
      <c r="M2" s="418"/>
      <c r="N2" s="419"/>
    </row>
    <row r="3" spans="2:14">
      <c r="B3" s="414" t="s">
        <v>0</v>
      </c>
      <c r="C3" s="2"/>
      <c r="D3" s="2"/>
      <c r="E3" s="2"/>
      <c r="F3" s="2"/>
      <c r="G3" s="1"/>
      <c r="H3" s="5"/>
      <c r="I3" s="6"/>
      <c r="J3" s="1"/>
      <c r="K3" s="1"/>
      <c r="L3" s="949"/>
      <c r="M3" s="292"/>
      <c r="N3" s="292"/>
    </row>
    <row r="4" spans="2:14">
      <c r="B4" s="859" t="s">
        <v>931</v>
      </c>
      <c r="C4" s="2"/>
      <c r="D4" s="2"/>
      <c r="E4" s="2"/>
      <c r="F4" s="2"/>
      <c r="G4" s="1"/>
      <c r="H4" s="5"/>
      <c r="I4" s="6"/>
      <c r="J4" s="1"/>
      <c r="K4" s="1"/>
      <c r="L4" s="949"/>
      <c r="M4" s="292"/>
      <c r="N4" s="292"/>
    </row>
    <row r="5" spans="2:14">
      <c r="B5" s="850" t="s">
        <v>1</v>
      </c>
      <c r="C5" s="2"/>
      <c r="D5" s="2"/>
      <c r="E5" s="2"/>
      <c r="F5" s="2"/>
      <c r="G5" s="1"/>
      <c r="H5" s="5"/>
      <c r="I5" s="6"/>
      <c r="J5" s="1"/>
      <c r="K5" s="1"/>
      <c r="L5" s="949"/>
      <c r="M5" s="292"/>
      <c r="N5" s="292"/>
    </row>
    <row r="6" spans="2:14">
      <c r="B6" s="414" t="s">
        <v>2</v>
      </c>
      <c r="C6" s="2"/>
      <c r="D6" s="2"/>
      <c r="E6" s="2"/>
      <c r="F6" s="2"/>
      <c r="G6" s="1"/>
      <c r="H6" s="5"/>
      <c r="I6" s="6"/>
      <c r="J6" s="1"/>
      <c r="K6" s="1"/>
      <c r="L6" s="949"/>
      <c r="M6" s="292"/>
      <c r="N6" s="292"/>
    </row>
    <row r="7" spans="2:14">
      <c r="B7" s="850" t="s">
        <v>3</v>
      </c>
      <c r="C7" s="2"/>
      <c r="D7" s="2"/>
      <c r="E7" s="2"/>
      <c r="F7" s="2"/>
      <c r="G7" s="1"/>
      <c r="H7" s="5"/>
      <c r="I7" s="6"/>
      <c r="J7" s="1"/>
      <c r="K7" s="1"/>
      <c r="L7" s="949"/>
      <c r="M7" s="292"/>
      <c r="N7" s="292"/>
    </row>
    <row r="8" spans="2:14" ht="16.5" thickBot="1">
      <c r="B8" s="1"/>
      <c r="C8" s="1"/>
      <c r="D8" s="1"/>
      <c r="E8" s="1"/>
      <c r="F8" s="1"/>
      <c r="G8" s="1"/>
      <c r="H8" s="1"/>
      <c r="I8" s="1136" t="str">
        <f>'10SumToilet30'!F8</f>
        <v>No. 010/RAB-Blok A-SSBP/I/2021</v>
      </c>
      <c r="J8" s="1136"/>
      <c r="K8" s="1136"/>
    </row>
    <row r="9" spans="2:14" ht="15.6" customHeight="1" thickTop="1">
      <c r="B9" s="962"/>
      <c r="C9" s="961"/>
      <c r="D9" s="9"/>
      <c r="E9" s="9"/>
      <c r="F9" s="9"/>
      <c r="G9" s="9"/>
      <c r="H9" s="959"/>
      <c r="I9" s="948"/>
      <c r="J9" s="860" t="s">
        <v>4</v>
      </c>
      <c r="K9" s="879" t="s">
        <v>5</v>
      </c>
    </row>
    <row r="10" spans="2:14">
      <c r="B10" s="958" t="s">
        <v>6</v>
      </c>
      <c r="C10" s="957" t="s">
        <v>7</v>
      </c>
      <c r="D10" s="854"/>
      <c r="E10" s="854"/>
      <c r="F10" s="854"/>
      <c r="G10" s="15"/>
      <c r="H10" s="5" t="s">
        <v>8</v>
      </c>
      <c r="I10" s="947" t="s">
        <v>9</v>
      </c>
      <c r="J10" s="862" t="s">
        <v>8</v>
      </c>
      <c r="K10" s="880" t="s">
        <v>4</v>
      </c>
    </row>
    <row r="11" spans="2:14" ht="16.5" thickBot="1">
      <c r="B11" s="955"/>
      <c r="C11" s="954"/>
      <c r="D11" s="21"/>
      <c r="E11" s="21"/>
      <c r="F11" s="21"/>
      <c r="G11" s="21"/>
      <c r="H11" s="952"/>
      <c r="I11" s="946"/>
      <c r="J11" s="864" t="s">
        <v>10</v>
      </c>
      <c r="K11" s="881" t="s">
        <v>10</v>
      </c>
    </row>
    <row r="12" spans="2:14" ht="16.5" thickTop="1">
      <c r="B12" s="659" t="s">
        <v>339</v>
      </c>
      <c r="C12" s="660" t="s">
        <v>340</v>
      </c>
      <c r="D12" s="661"/>
      <c r="E12" s="661"/>
      <c r="F12" s="661"/>
      <c r="G12" s="999"/>
      <c r="H12" s="425"/>
      <c r="I12" s="425"/>
      <c r="J12" s="824"/>
      <c r="K12" s="1000"/>
      <c r="L12" s="841"/>
    </row>
    <row r="13" spans="2:14">
      <c r="B13" s="421">
        <v>1</v>
      </c>
      <c r="C13" s="434" t="str">
        <f>[80]Sheet1!$B$3</f>
        <v xml:space="preserve">Pembersihan awal dan Selama Proyek Berjalan </v>
      </c>
      <c r="H13" s="272" t="s">
        <v>357</v>
      </c>
      <c r="I13" s="436">
        <v>0</v>
      </c>
      <c r="J13" s="825">
        <f>[80]Sheet1!$D$3</f>
        <v>1000000</v>
      </c>
      <c r="K13" s="437">
        <f>I13*J13</f>
        <v>0</v>
      </c>
      <c r="L13" s="842"/>
    </row>
    <row r="14" spans="2:14">
      <c r="B14" s="421">
        <v>2</v>
      </c>
      <c r="C14" s="434" t="str">
        <f>[80]Sheet1!$B$4</f>
        <v>Pembersihan akhir sampah dll</v>
      </c>
      <c r="H14" s="272" t="s">
        <v>357</v>
      </c>
      <c r="I14" s="436">
        <v>0</v>
      </c>
      <c r="J14" s="825">
        <f>[80]Sheet1!$D$4</f>
        <v>1000000</v>
      </c>
      <c r="K14" s="437">
        <f t="shared" ref="K14:K16" si="0">I14*J14</f>
        <v>0</v>
      </c>
      <c r="L14" s="842"/>
    </row>
    <row r="15" spans="2:14">
      <c r="B15" s="421">
        <v>3</v>
      </c>
      <c r="C15" s="1113" t="str">
        <f>[80]Sheet1!$B$5</f>
        <v>Survey</v>
      </c>
      <c r="H15" s="272" t="s">
        <v>357</v>
      </c>
      <c r="I15" s="436">
        <v>0</v>
      </c>
      <c r="J15" s="825">
        <f>[80]Sheet1!$D$5</f>
        <v>2000000</v>
      </c>
      <c r="K15" s="437">
        <f t="shared" si="0"/>
        <v>0</v>
      </c>
      <c r="L15" s="842"/>
    </row>
    <row r="16" spans="2:14">
      <c r="B16" s="421">
        <v>4</v>
      </c>
      <c r="C16" s="1113" t="str">
        <f>[80]Sheet1!$B$6</f>
        <v>Pembuatan gambar teknis</v>
      </c>
      <c r="H16" s="272" t="s">
        <v>357</v>
      </c>
      <c r="I16" s="436">
        <v>0</v>
      </c>
      <c r="J16" s="825">
        <f>[80]Sheet1!$D$6</f>
        <v>1000000</v>
      </c>
      <c r="K16" s="437">
        <f t="shared" si="0"/>
        <v>0</v>
      </c>
      <c r="L16" s="842"/>
    </row>
    <row r="17" spans="2:12">
      <c r="B17" s="421"/>
      <c r="C17" s="434"/>
      <c r="H17" s="431"/>
      <c r="I17" s="436"/>
      <c r="J17" s="825"/>
      <c r="K17" s="437"/>
      <c r="L17" s="842"/>
    </row>
    <row r="18" spans="2:12">
      <c r="B18" s="421"/>
      <c r="C18" s="434"/>
      <c r="G18" s="994"/>
      <c r="H18" s="431"/>
      <c r="I18" s="436"/>
      <c r="J18" s="832" t="s">
        <v>348</v>
      </c>
      <c r="K18" s="440">
        <f>SUM(K13:K16)</f>
        <v>0</v>
      </c>
      <c r="L18" s="843"/>
    </row>
    <row r="19" spans="2:12">
      <c r="B19" s="428" t="s">
        <v>349</v>
      </c>
      <c r="C19" s="429" t="s">
        <v>1005</v>
      </c>
      <c r="D19" s="816"/>
      <c r="E19" s="816"/>
      <c r="F19" s="816"/>
      <c r="H19" s="431"/>
      <c r="I19" s="436"/>
      <c r="J19" s="825"/>
      <c r="K19" s="437"/>
      <c r="L19" s="841"/>
    </row>
    <row r="20" spans="2:12">
      <c r="B20" s="421">
        <v>1</v>
      </c>
      <c r="C20" s="1114" t="str">
        <f>[80]Sheet1!$B$8</f>
        <v> Kabel UTP</v>
      </c>
      <c r="H20" s="272" t="s">
        <v>1006</v>
      </c>
      <c r="I20" s="436">
        <v>0</v>
      </c>
      <c r="J20" s="825">
        <f>[80]Sheet1!$D$8</f>
        <v>2000000</v>
      </c>
      <c r="K20" s="437">
        <f>I20*J20</f>
        <v>0</v>
      </c>
      <c r="L20" s="842"/>
    </row>
    <row r="21" spans="2:12">
      <c r="B21" s="421">
        <f>B20+1</f>
        <v>2</v>
      </c>
      <c r="C21" s="1114" t="str">
        <f>[80]Sheet1!$B$9</f>
        <v>Konektor RJ-45</v>
      </c>
      <c r="H21" s="272" t="s">
        <v>1013</v>
      </c>
      <c r="I21" s="436">
        <v>0</v>
      </c>
      <c r="J21" s="825">
        <f>[80]Sheet1!$D$9</f>
        <v>1500000</v>
      </c>
      <c r="K21" s="437">
        <f>I21*J21</f>
        <v>0</v>
      </c>
      <c r="L21" s="842"/>
    </row>
    <row r="22" spans="2:12">
      <c r="B22" s="421">
        <f>B21+1</f>
        <v>3</v>
      </c>
      <c r="C22" s="1114" t="str">
        <f>[80]Sheet1!$B$10</f>
        <v>Kartu Jaringan (LAN Card)</v>
      </c>
      <c r="H22" s="272" t="s">
        <v>392</v>
      </c>
      <c r="I22" s="436">
        <v>0</v>
      </c>
      <c r="J22" s="825">
        <f>[80]Sheet1!$D$10</f>
        <v>1500000</v>
      </c>
      <c r="K22" s="437">
        <f>I22*J22</f>
        <v>0</v>
      </c>
      <c r="L22" s="842"/>
    </row>
    <row r="23" spans="2:12">
      <c r="B23" s="421">
        <f t="shared" ref="B23:B24" si="1">B22+1</f>
        <v>4</v>
      </c>
      <c r="C23" s="1114" t="str">
        <f>[80]Sheet1!$B$11</f>
        <v>Switch / Hub Managable</v>
      </c>
      <c r="H23" s="272" t="s">
        <v>392</v>
      </c>
      <c r="I23" s="436">
        <v>0</v>
      </c>
      <c r="J23" s="825">
        <f>[80]Sheet1!$D$11</f>
        <v>10000000</v>
      </c>
      <c r="K23" s="437">
        <f t="shared" ref="K23:K24" si="2">I23*J23</f>
        <v>0</v>
      </c>
      <c r="L23" s="842"/>
    </row>
    <row r="24" spans="2:12">
      <c r="B24" s="421">
        <f t="shared" si="1"/>
        <v>5</v>
      </c>
      <c r="C24" s="1114" t="str">
        <f>[80]Sheet1!$B$12</f>
        <v>Alat dukung</v>
      </c>
      <c r="H24" s="272" t="s">
        <v>392</v>
      </c>
      <c r="I24" s="436">
        <v>0</v>
      </c>
      <c r="J24" s="825">
        <f>[80]Sheet1!$D$12</f>
        <v>500000</v>
      </c>
      <c r="K24" s="437">
        <f t="shared" si="2"/>
        <v>0</v>
      </c>
      <c r="L24" s="842"/>
    </row>
    <row r="25" spans="2:12">
      <c r="B25" s="421"/>
      <c r="C25" s="434"/>
      <c r="H25" s="431"/>
      <c r="I25" s="436"/>
      <c r="J25" s="825"/>
      <c r="K25" s="437"/>
      <c r="L25" s="841"/>
    </row>
    <row r="26" spans="2:12">
      <c r="B26" s="421"/>
      <c r="C26" s="434"/>
      <c r="G26" s="994"/>
      <c r="H26" s="431"/>
      <c r="I26" s="436"/>
      <c r="J26" s="832" t="s">
        <v>353</v>
      </c>
      <c r="K26" s="440">
        <f>SUM(K20:K24)</f>
        <v>0</v>
      </c>
      <c r="L26" s="843"/>
    </row>
    <row r="27" spans="2:12">
      <c r="B27" s="428" t="s">
        <v>354</v>
      </c>
      <c r="C27" s="429" t="s">
        <v>1012</v>
      </c>
      <c r="D27" s="816"/>
      <c r="E27" s="816"/>
      <c r="F27" s="816"/>
      <c r="H27" s="431"/>
      <c r="I27" s="436"/>
      <c r="J27" s="825"/>
      <c r="K27" s="437"/>
      <c r="L27" s="841"/>
    </row>
    <row r="28" spans="2:12">
      <c r="B28" s="421">
        <v>1</v>
      </c>
      <c r="C28" s="434" t="str">
        <f>[80]Sheet1!$B$14</f>
        <v>Cctv indoor</v>
      </c>
      <c r="H28" s="272" t="s">
        <v>392</v>
      </c>
      <c r="I28" s="436">
        <v>0</v>
      </c>
      <c r="J28" s="825">
        <f>[80]Sheet1!$D$14</f>
        <v>3500000</v>
      </c>
      <c r="K28" s="437">
        <f>I28*J28</f>
        <v>0</v>
      </c>
      <c r="L28" s="842"/>
    </row>
    <row r="29" spans="2:12">
      <c r="B29" s="421">
        <v>2</v>
      </c>
      <c r="C29" s="434" t="str">
        <f>[80]Sheet1!$B$15</f>
        <v>Cctv outdoor</v>
      </c>
      <c r="H29" s="272" t="s">
        <v>392</v>
      </c>
      <c r="I29" s="436">
        <v>0</v>
      </c>
      <c r="J29" s="825">
        <f>[80]Sheet1!$D$15</f>
        <v>3500000</v>
      </c>
      <c r="K29" s="437">
        <f>I29*J29</f>
        <v>0</v>
      </c>
      <c r="L29" s="842"/>
    </row>
    <row r="30" spans="2:12">
      <c r="B30" s="421">
        <f>B29+1</f>
        <v>3</v>
      </c>
      <c r="C30" s="434" t="str">
        <f>[80]Sheet1!$B$16</f>
        <v>DVR</v>
      </c>
      <c r="H30" s="272" t="s">
        <v>392</v>
      </c>
      <c r="I30" s="436">
        <v>0</v>
      </c>
      <c r="J30" s="825">
        <f>[80]Sheet1!$D$16</f>
        <v>5000000</v>
      </c>
      <c r="K30" s="437">
        <f>I30*J30</f>
        <v>0</v>
      </c>
      <c r="L30" s="842"/>
    </row>
    <row r="31" spans="2:12">
      <c r="B31" s="421">
        <f t="shared" ref="B31:B35" si="3">B30+1</f>
        <v>4</v>
      </c>
      <c r="C31" s="434" t="str">
        <f>[80]Sheet1!$B$17</f>
        <v>Adapter dan Power Supply.</v>
      </c>
      <c r="H31" s="272" t="s">
        <v>392</v>
      </c>
      <c r="I31" s="436">
        <v>0</v>
      </c>
      <c r="J31" s="825">
        <f>[80]Sheet1!$D$17</f>
        <v>900000</v>
      </c>
      <c r="K31" s="437">
        <f t="shared" ref="K31:K35" si="4">I31*J31</f>
        <v>0</v>
      </c>
      <c r="L31" s="842"/>
    </row>
    <row r="32" spans="2:12">
      <c r="B32" s="421">
        <f t="shared" si="3"/>
        <v>5</v>
      </c>
      <c r="C32" s="434" t="str">
        <f>[80]Sheet1!$B$18</f>
        <v>Kabel Power.</v>
      </c>
      <c r="H32" s="272" t="s">
        <v>1006</v>
      </c>
      <c r="I32" s="436">
        <v>0</v>
      </c>
      <c r="J32" s="825">
        <f>[80]Sheet1!$D$18</f>
        <v>1000000</v>
      </c>
      <c r="K32" s="437">
        <f t="shared" si="4"/>
        <v>0</v>
      </c>
      <c r="L32" s="842"/>
    </row>
    <row r="33" spans="2:12">
      <c r="B33" s="421">
        <f t="shared" si="3"/>
        <v>6</v>
      </c>
      <c r="C33" s="434" t="str">
        <f>[80]Sheet1!$B$19</f>
        <v>Crimp Kabel.</v>
      </c>
      <c r="H33" s="272" t="s">
        <v>392</v>
      </c>
      <c r="I33" s="436">
        <v>0</v>
      </c>
      <c r="J33" s="825">
        <f>[80]Sheet1!$D$19</f>
        <v>2000000</v>
      </c>
      <c r="K33" s="437">
        <f t="shared" si="4"/>
        <v>0</v>
      </c>
      <c r="L33" s="842"/>
    </row>
    <row r="34" spans="2:12">
      <c r="B34" s="421">
        <f t="shared" si="3"/>
        <v>7</v>
      </c>
      <c r="C34" s="434" t="str">
        <f>[80]Sheet1!$B$20</f>
        <v>Kabel Coaxial.</v>
      </c>
      <c r="H34" s="272" t="s">
        <v>1006</v>
      </c>
      <c r="I34" s="436">
        <v>0</v>
      </c>
      <c r="J34" s="825">
        <f>[80]Sheet1!$D$20</f>
        <v>3500000</v>
      </c>
      <c r="K34" s="437">
        <f t="shared" si="4"/>
        <v>0</v>
      </c>
      <c r="L34" s="842"/>
    </row>
    <row r="35" spans="2:12">
      <c r="B35" s="421">
        <f t="shared" si="3"/>
        <v>8</v>
      </c>
      <c r="C35" s="434" t="str">
        <f>[80]Sheet1!$B$21</f>
        <v>Konektor RF.</v>
      </c>
      <c r="H35" s="272" t="s">
        <v>1013</v>
      </c>
      <c r="I35" s="436">
        <v>0</v>
      </c>
      <c r="J35" s="825">
        <f>[80]Sheet1!$D$21</f>
        <v>1000000</v>
      </c>
      <c r="K35" s="437">
        <f t="shared" si="4"/>
        <v>0</v>
      </c>
      <c r="L35" s="842"/>
    </row>
    <row r="36" spans="2:12">
      <c r="B36" s="438"/>
      <c r="C36" s="434"/>
      <c r="H36" s="431"/>
      <c r="I36" s="444"/>
      <c r="J36" s="825"/>
      <c r="K36" s="437"/>
      <c r="L36" s="842"/>
    </row>
    <row r="37" spans="2:12">
      <c r="B37" s="421"/>
      <c r="C37" s="434"/>
      <c r="G37" s="994"/>
      <c r="H37" s="431"/>
      <c r="I37" s="444"/>
      <c r="J37" s="832" t="s">
        <v>358</v>
      </c>
      <c r="K37" s="440">
        <f>SUM(K28:K36)</f>
        <v>0</v>
      </c>
      <c r="L37" s="843"/>
    </row>
    <row r="38" spans="2:12">
      <c r="B38" s="428" t="s">
        <v>359</v>
      </c>
      <c r="C38" s="568" t="s">
        <v>1008</v>
      </c>
      <c r="D38" s="816"/>
      <c r="E38" s="816"/>
      <c r="F38" s="816"/>
      <c r="H38" s="431"/>
      <c r="I38" s="444"/>
      <c r="J38" s="825"/>
      <c r="K38" s="437"/>
      <c r="L38" s="841"/>
    </row>
    <row r="39" spans="2:12">
      <c r="B39" s="421">
        <v>1</v>
      </c>
      <c r="C39" s="434" t="str">
        <f>[80]Sheet1!$B$23</f>
        <v>Acess Point</v>
      </c>
      <c r="G39" s="851"/>
      <c r="H39" s="272" t="s">
        <v>392</v>
      </c>
      <c r="I39" s="445">
        <v>0</v>
      </c>
      <c r="J39" s="826">
        <f>[80]Sheet1!$D$23</f>
        <v>8500000</v>
      </c>
      <c r="K39" s="437">
        <f>I39*J39</f>
        <v>0</v>
      </c>
      <c r="L39" s="842"/>
    </row>
    <row r="40" spans="2:12">
      <c r="B40" s="421">
        <v>2</v>
      </c>
      <c r="C40" s="434" t="str">
        <f>[80]Sheet1!$B$24</f>
        <v>Antena Omni</v>
      </c>
      <c r="G40" s="851"/>
      <c r="H40" s="272" t="s">
        <v>392</v>
      </c>
      <c r="I40" s="445">
        <v>0</v>
      </c>
      <c r="J40" s="825">
        <f>[80]Sheet1!$D$24</f>
        <v>10000000</v>
      </c>
      <c r="K40" s="437">
        <f t="shared" ref="K40:K44" si="5">I40*J40</f>
        <v>0</v>
      </c>
      <c r="L40" s="842"/>
    </row>
    <row r="41" spans="2:12">
      <c r="B41" s="421">
        <v>3</v>
      </c>
      <c r="C41" s="434" t="str">
        <f>[80]Sheet1!$B$25</f>
        <v>Kabel Pigtail/Kabel Jumper</v>
      </c>
      <c r="G41" s="851"/>
      <c r="H41" s="272" t="s">
        <v>1006</v>
      </c>
      <c r="I41" s="445">
        <v>0</v>
      </c>
      <c r="J41" s="825">
        <f xml:space="preserve"> [80]Sheet1!$D$25</f>
        <v>500000</v>
      </c>
      <c r="K41" s="437">
        <f t="shared" si="5"/>
        <v>0</v>
      </c>
      <c r="L41" s="842"/>
    </row>
    <row r="42" spans="2:12">
      <c r="B42" s="421">
        <v>4</v>
      </c>
      <c r="C42" s="434" t="str">
        <f>[80]Sheet1!$B$26</f>
        <v>POE (Power Over Ethernet)</v>
      </c>
      <c r="G42" s="851"/>
      <c r="H42" s="272" t="s">
        <v>392</v>
      </c>
      <c r="I42" s="445">
        <v>0</v>
      </c>
      <c r="J42" s="825">
        <f>[80]Sheet1!$D$26</f>
        <v>2000000</v>
      </c>
      <c r="K42" s="437">
        <f t="shared" si="5"/>
        <v>0</v>
      </c>
      <c r="L42" s="842"/>
    </row>
    <row r="43" spans="2:12">
      <c r="B43" s="421">
        <v>5</v>
      </c>
      <c r="C43" s="434" t="str">
        <f>[80]Sheet1!$B$27</f>
        <v>Kabel UTP/STP</v>
      </c>
      <c r="G43" s="851"/>
      <c r="H43" s="272" t="s">
        <v>1006</v>
      </c>
      <c r="I43" s="445">
        <v>0</v>
      </c>
      <c r="J43" s="825">
        <f>[80]Sheet1!$D$27</f>
        <v>3000000</v>
      </c>
      <c r="K43" s="437">
        <f t="shared" si="5"/>
        <v>0</v>
      </c>
      <c r="L43" s="842"/>
    </row>
    <row r="44" spans="2:12">
      <c r="B44" s="421">
        <v>6</v>
      </c>
      <c r="C44" s="434" t="str">
        <f>[80]Sheet1!$B$28</f>
        <v>Penangkal Petir (Lightning Arrester)</v>
      </c>
      <c r="G44" s="851"/>
      <c r="H44" s="272" t="s">
        <v>392</v>
      </c>
      <c r="I44" s="445">
        <v>0</v>
      </c>
      <c r="J44" s="825">
        <f>[80]Sheet1!$D$28</f>
        <v>3000000</v>
      </c>
      <c r="K44" s="437">
        <f t="shared" si="5"/>
        <v>0</v>
      </c>
      <c r="L44" s="842"/>
    </row>
    <row r="45" spans="2:12">
      <c r="B45" s="421"/>
      <c r="C45" s="434"/>
      <c r="G45" s="851"/>
      <c r="H45" s="431"/>
      <c r="I45" s="445"/>
      <c r="J45" s="826"/>
      <c r="K45" s="437"/>
      <c r="L45" s="842"/>
    </row>
    <row r="46" spans="2:12">
      <c r="B46" s="421"/>
      <c r="C46" s="434"/>
      <c r="G46" s="851"/>
      <c r="H46" s="431"/>
      <c r="I46" s="444"/>
      <c r="J46" s="832" t="s">
        <v>361</v>
      </c>
      <c r="K46" s="440">
        <f>SUM(K39:K44)</f>
        <v>0</v>
      </c>
      <c r="L46" s="843"/>
    </row>
    <row r="47" spans="2:12">
      <c r="B47" s="428" t="s">
        <v>362</v>
      </c>
      <c r="C47" s="429" t="s">
        <v>1010</v>
      </c>
      <c r="D47" s="816"/>
      <c r="E47" s="816"/>
      <c r="F47" s="816"/>
      <c r="H47" s="431"/>
      <c r="I47" s="444"/>
      <c r="J47" s="825"/>
      <c r="K47" s="437"/>
      <c r="L47" s="841"/>
    </row>
    <row r="48" spans="2:12">
      <c r="B48" s="421">
        <v>1</v>
      </c>
      <c r="C48" s="434" t="str">
        <f>[80]Sheet1!$B$30</f>
        <v>Kabel Telepon outdoor</v>
      </c>
      <c r="H48" s="272" t="s">
        <v>1006</v>
      </c>
      <c r="I48" s="447">
        <f>I39</f>
        <v>0</v>
      </c>
      <c r="J48" s="825">
        <f>[80]Sheet1!$D$30</f>
        <v>4500000</v>
      </c>
      <c r="K48" s="437">
        <f>I48*J48</f>
        <v>0</v>
      </c>
      <c r="L48" s="842"/>
    </row>
    <row r="49" spans="2:16">
      <c r="B49" s="421">
        <f>B48+1</f>
        <v>2</v>
      </c>
      <c r="C49" s="434" t="str">
        <f>[80]Sheet1!$B$31</f>
        <v>Kabel Telepon Indoor</v>
      </c>
      <c r="H49" s="272" t="s">
        <v>1006</v>
      </c>
      <c r="I49" s="436">
        <f>I39</f>
        <v>0</v>
      </c>
      <c r="J49" s="825">
        <f>[80]Sheet1!$D$31</f>
        <v>4000000</v>
      </c>
      <c r="K49" s="437">
        <f>I49*J49</f>
        <v>0</v>
      </c>
      <c r="L49" s="842"/>
    </row>
    <row r="50" spans="2:16">
      <c r="B50" s="421">
        <f t="shared" ref="B50:B53" si="6">B49+1</f>
        <v>3</v>
      </c>
      <c r="C50" s="434" t="str">
        <f>[80]Sheet1!$B$32</f>
        <v>Box Telepon Konektor</v>
      </c>
      <c r="H50" s="272" t="s">
        <v>392</v>
      </c>
      <c r="I50" s="436">
        <f t="shared" ref="I50:I53" si="7">I40</f>
        <v>0</v>
      </c>
      <c r="J50" s="825">
        <f>[80]Sheet1!$D$32</f>
        <v>6500000</v>
      </c>
      <c r="K50" s="437">
        <f t="shared" ref="K50:K53" si="8">I50*J50</f>
        <v>0</v>
      </c>
      <c r="L50" s="842"/>
    </row>
    <row r="51" spans="2:16">
      <c r="B51" s="421">
        <f t="shared" si="6"/>
        <v>4</v>
      </c>
      <c r="C51" s="434" t="str">
        <f>[80]Sheet1!$B$33</f>
        <v>Kabel Protection ( Ugreen Cable Zipper Protection )</v>
      </c>
      <c r="H51" s="272" t="s">
        <v>813</v>
      </c>
      <c r="I51" s="436">
        <f t="shared" si="7"/>
        <v>0</v>
      </c>
      <c r="J51" s="825">
        <f>[80]Sheet1!$D$33</f>
        <v>200000</v>
      </c>
      <c r="K51" s="437">
        <f t="shared" si="8"/>
        <v>0</v>
      </c>
      <c r="L51" s="842"/>
    </row>
    <row r="52" spans="2:16">
      <c r="B52" s="421">
        <f t="shared" si="6"/>
        <v>5</v>
      </c>
      <c r="C52" s="434" t="str">
        <f>[80]Sheet1!$B$34</f>
        <v>Paku Klem</v>
      </c>
      <c r="H52" s="272" t="s">
        <v>1015</v>
      </c>
      <c r="I52" s="436">
        <f t="shared" si="7"/>
        <v>0</v>
      </c>
      <c r="J52" s="825">
        <f>[80]Sheet1!$D$34</f>
        <v>500000</v>
      </c>
      <c r="K52" s="437">
        <f t="shared" si="8"/>
        <v>0</v>
      </c>
      <c r="L52" s="842"/>
    </row>
    <row r="53" spans="2:16">
      <c r="B53" s="421">
        <f t="shared" si="6"/>
        <v>6</v>
      </c>
      <c r="C53" s="434" t="str">
        <f>[80]Sheet1!$B$35</f>
        <v>Peralatan kerja pabx</v>
      </c>
      <c r="H53" s="272" t="s">
        <v>392</v>
      </c>
      <c r="I53" s="436">
        <f t="shared" si="7"/>
        <v>0</v>
      </c>
      <c r="J53" s="825">
        <f>[80]Sheet1!$D$35</f>
        <v>2000000</v>
      </c>
      <c r="K53" s="437">
        <f t="shared" si="8"/>
        <v>0</v>
      </c>
      <c r="L53" s="842"/>
    </row>
    <row r="54" spans="2:16">
      <c r="B54" s="671"/>
      <c r="C54" s="434"/>
      <c r="H54" s="431"/>
      <c r="I54" s="444"/>
      <c r="J54" s="825"/>
      <c r="K54" s="437"/>
      <c r="L54" s="842"/>
    </row>
    <row r="55" spans="2:16">
      <c r="B55" s="421"/>
      <c r="C55" s="434"/>
      <c r="G55" s="851"/>
      <c r="H55" s="431"/>
      <c r="I55" s="444"/>
      <c r="J55" s="832" t="s">
        <v>365</v>
      </c>
      <c r="K55" s="440">
        <f>SUM(K48:K53)</f>
        <v>0</v>
      </c>
      <c r="L55" s="843"/>
      <c r="P55" s="818"/>
    </row>
    <row r="56" spans="2:16">
      <c r="B56" s="449" t="s">
        <v>366</v>
      </c>
      <c r="C56" s="568" t="s">
        <v>1009</v>
      </c>
      <c r="D56" s="816"/>
      <c r="E56" s="816"/>
      <c r="F56" s="816"/>
      <c r="H56" s="431"/>
      <c r="I56" s="444"/>
      <c r="J56" s="825"/>
      <c r="K56" s="437"/>
      <c r="L56" s="841"/>
    </row>
    <row r="57" spans="2:16">
      <c r="B57" s="421">
        <v>1</v>
      </c>
      <c r="C57" s="434" t="str">
        <f>[80]Sheet1!$B$37</f>
        <v>Rumah Kabel</v>
      </c>
      <c r="H57" s="272" t="s">
        <v>1014</v>
      </c>
      <c r="I57" s="436">
        <v>0</v>
      </c>
      <c r="J57" s="825">
        <f>[80]Sheet1!$D$37</f>
        <v>1500000</v>
      </c>
      <c r="K57" s="437">
        <f>I57*J57</f>
        <v>0</v>
      </c>
      <c r="L57" s="842"/>
    </row>
    <row r="58" spans="2:16">
      <c r="B58" s="421">
        <f>B57+1</f>
        <v>2</v>
      </c>
      <c r="C58" s="434" t="str">
        <f>[80]Sheet1!$B$38</f>
        <v>paku-paku &amp; Klem</v>
      </c>
      <c r="H58" s="272" t="s">
        <v>1015</v>
      </c>
      <c r="I58" s="436">
        <v>0</v>
      </c>
      <c r="J58" s="825">
        <f>[80]Sheet1!$D$38</f>
        <v>2000000</v>
      </c>
      <c r="K58" s="437">
        <f>I58*J58</f>
        <v>0</v>
      </c>
      <c r="L58" s="842"/>
    </row>
    <row r="59" spans="2:16">
      <c r="B59" s="421"/>
      <c r="C59" s="434"/>
      <c r="H59" s="431"/>
      <c r="I59" s="436"/>
      <c r="J59" s="825"/>
      <c r="K59" s="437"/>
      <c r="L59" s="842"/>
    </row>
    <row r="60" spans="2:16">
      <c r="B60" s="421"/>
      <c r="C60" s="434"/>
      <c r="G60" s="851"/>
      <c r="H60" s="431"/>
      <c r="I60" s="444"/>
      <c r="J60" s="832" t="s">
        <v>368</v>
      </c>
      <c r="K60" s="440">
        <f>SUM(K57:K59)</f>
        <v>0</v>
      </c>
      <c r="L60" s="843"/>
    </row>
    <row r="61" spans="2:16">
      <c r="B61" s="421"/>
      <c r="C61" s="434"/>
      <c r="G61" s="851"/>
      <c r="H61" s="431"/>
      <c r="I61" s="444"/>
      <c r="J61" s="825"/>
      <c r="K61" s="440"/>
      <c r="L61" s="841"/>
    </row>
    <row r="62" spans="2:16">
      <c r="B62" s="428" t="s">
        <v>369</v>
      </c>
      <c r="C62" s="429" t="s">
        <v>62</v>
      </c>
      <c r="D62" s="816"/>
      <c r="E62" s="816"/>
      <c r="F62" s="816"/>
      <c r="H62" s="431"/>
      <c r="I62" s="444"/>
      <c r="J62" s="825"/>
      <c r="K62" s="437"/>
      <c r="L62" s="841"/>
    </row>
    <row r="63" spans="2:16">
      <c r="B63" s="438">
        <v>1</v>
      </c>
      <c r="C63" s="434"/>
      <c r="H63" s="431"/>
      <c r="I63" s="436">
        <v>0</v>
      </c>
      <c r="J63" s="825">
        <v>0</v>
      </c>
      <c r="K63" s="437">
        <f>I63*J63</f>
        <v>0</v>
      </c>
      <c r="L63" s="842"/>
    </row>
    <row r="64" spans="2:16">
      <c r="B64" s="438"/>
      <c r="C64" s="434"/>
      <c r="H64" s="431"/>
      <c r="I64" s="436"/>
      <c r="J64" s="825"/>
      <c r="K64" s="437"/>
      <c r="L64" s="842"/>
    </row>
    <row r="65" spans="1:12">
      <c r="B65" s="421"/>
      <c r="C65" s="434"/>
      <c r="G65" s="851"/>
      <c r="H65" s="431"/>
      <c r="I65" s="444"/>
      <c r="J65" s="832" t="s">
        <v>371</v>
      </c>
      <c r="K65" s="440">
        <f>SUM(K63:K63)</f>
        <v>0</v>
      </c>
      <c r="L65" s="843"/>
    </row>
    <row r="66" spans="1:12">
      <c r="B66" s="449" t="s">
        <v>372</v>
      </c>
      <c r="C66" s="429" t="s">
        <v>62</v>
      </c>
      <c r="D66" s="816"/>
      <c r="E66" s="816"/>
      <c r="F66" s="816"/>
      <c r="H66" s="431"/>
      <c r="I66" s="444"/>
      <c r="J66" s="825"/>
      <c r="K66" s="437"/>
      <c r="L66" s="841"/>
    </row>
    <row r="67" spans="1:12">
      <c r="B67" s="421">
        <v>1</v>
      </c>
      <c r="C67" s="434"/>
      <c r="H67" s="431"/>
      <c r="I67" s="436">
        <v>0</v>
      </c>
      <c r="J67" s="825">
        <v>0</v>
      </c>
      <c r="K67" s="437">
        <f>I67*J67</f>
        <v>0</v>
      </c>
      <c r="L67" s="842"/>
    </row>
    <row r="68" spans="1:12">
      <c r="B68" s="421">
        <f>B67+1</f>
        <v>2</v>
      </c>
      <c r="C68" s="434"/>
      <c r="H68" s="431"/>
      <c r="I68" s="436">
        <v>0</v>
      </c>
      <c r="J68" s="825">
        <v>0</v>
      </c>
      <c r="K68" s="437">
        <f>I68*J68</f>
        <v>0</v>
      </c>
      <c r="L68" s="842"/>
    </row>
    <row r="69" spans="1:12">
      <c r="B69" s="421">
        <f t="shared" ref="B69:B70" si="9">B68+1</f>
        <v>3</v>
      </c>
      <c r="C69" s="450"/>
      <c r="D69" s="820"/>
      <c r="E69" s="820"/>
      <c r="F69" s="820"/>
      <c r="H69" s="431"/>
      <c r="I69" s="436">
        <v>0</v>
      </c>
      <c r="J69" s="825">
        <v>0</v>
      </c>
      <c r="K69" s="437">
        <f>I69*J69</f>
        <v>0</v>
      </c>
      <c r="L69" s="842"/>
    </row>
    <row r="70" spans="1:12">
      <c r="B70" s="421">
        <f t="shared" si="9"/>
        <v>4</v>
      </c>
      <c r="C70" s="434"/>
      <c r="H70" s="431"/>
      <c r="I70" s="436">
        <v>0</v>
      </c>
      <c r="J70" s="825">
        <v>0</v>
      </c>
      <c r="K70" s="437">
        <f>I70*J70</f>
        <v>0</v>
      </c>
      <c r="L70" s="842"/>
    </row>
    <row r="71" spans="1:12">
      <c r="A71" s="998"/>
      <c r="B71" s="421"/>
      <c r="C71" s="434"/>
      <c r="H71" s="431"/>
      <c r="I71" s="444"/>
      <c r="J71" s="825"/>
      <c r="K71" s="437"/>
      <c r="L71" s="842"/>
    </row>
    <row r="72" spans="1:12">
      <c r="B72" s="421"/>
      <c r="C72" s="434"/>
      <c r="G72" s="851"/>
      <c r="H72" s="431"/>
      <c r="I72" s="444"/>
      <c r="J72" s="832" t="s">
        <v>377</v>
      </c>
      <c r="K72" s="440">
        <f>SUM(K67:K71)</f>
        <v>0</v>
      </c>
      <c r="L72" s="843"/>
    </row>
    <row r="73" spans="1:12">
      <c r="A73" s="820"/>
      <c r="B73" s="428" t="s">
        <v>378</v>
      </c>
      <c r="C73" s="429" t="s">
        <v>62</v>
      </c>
      <c r="D73" s="816"/>
      <c r="E73" s="816"/>
      <c r="F73" s="816"/>
      <c r="H73" s="431"/>
      <c r="I73" s="444"/>
      <c r="J73" s="825"/>
      <c r="K73" s="437"/>
      <c r="L73" s="841"/>
    </row>
    <row r="74" spans="1:12">
      <c r="A74" s="820"/>
      <c r="B74" s="421">
        <v>1</v>
      </c>
      <c r="C74" s="434"/>
      <c r="H74" s="431"/>
      <c r="I74" s="436">
        <v>0</v>
      </c>
      <c r="J74" s="825">
        <v>0</v>
      </c>
      <c r="K74" s="437">
        <f>I74*J74</f>
        <v>0</v>
      </c>
      <c r="L74" s="842"/>
    </row>
    <row r="75" spans="1:12">
      <c r="B75" s="421"/>
      <c r="C75" s="434"/>
      <c r="H75" s="431"/>
      <c r="I75" s="444"/>
      <c r="J75" s="825"/>
      <c r="K75" s="437"/>
      <c r="L75" s="842"/>
    </row>
    <row r="76" spans="1:12">
      <c r="B76" s="421"/>
      <c r="C76" s="434"/>
      <c r="G76" s="851"/>
      <c r="H76" s="431"/>
      <c r="I76" s="444"/>
      <c r="J76" s="832" t="s">
        <v>383</v>
      </c>
      <c r="K76" s="440">
        <f>SUM(K74:K74)</f>
        <v>0</v>
      </c>
      <c r="L76" s="843"/>
    </row>
    <row r="77" spans="1:12">
      <c r="B77" s="428" t="s">
        <v>384</v>
      </c>
      <c r="C77" s="429" t="s">
        <v>62</v>
      </c>
      <c r="D77" s="816"/>
      <c r="E77" s="816"/>
      <c r="F77" s="816"/>
      <c r="H77" s="431"/>
      <c r="I77" s="444"/>
      <c r="J77" s="825"/>
      <c r="K77" s="437"/>
      <c r="L77" s="841"/>
    </row>
    <row r="78" spans="1:12">
      <c r="B78" s="421">
        <v>1</v>
      </c>
      <c r="C78" s="434"/>
      <c r="H78" s="431"/>
      <c r="I78" s="436">
        <v>0</v>
      </c>
      <c r="J78" s="825">
        <v>0</v>
      </c>
      <c r="K78" s="437">
        <f>I78*J78</f>
        <v>0</v>
      </c>
      <c r="L78" s="842"/>
    </row>
    <row r="79" spans="1:12">
      <c r="B79" s="421">
        <v>2</v>
      </c>
      <c r="C79" s="434"/>
      <c r="H79" s="431"/>
      <c r="I79" s="436">
        <f>I63</f>
        <v>0</v>
      </c>
      <c r="J79" s="825">
        <v>0</v>
      </c>
      <c r="K79" s="437">
        <f>I79*J79</f>
        <v>0</v>
      </c>
      <c r="L79" s="842"/>
    </row>
    <row r="80" spans="1:12">
      <c r="B80" s="421"/>
      <c r="C80" s="434"/>
      <c r="H80" s="431"/>
      <c r="I80" s="436"/>
      <c r="J80" s="825"/>
      <c r="K80" s="437"/>
      <c r="L80" s="842"/>
    </row>
    <row r="81" spans="1:12">
      <c r="B81" s="421"/>
      <c r="C81" s="434"/>
      <c r="G81" s="851"/>
      <c r="H81" s="431"/>
      <c r="I81" s="444"/>
      <c r="J81" s="832" t="s">
        <v>388</v>
      </c>
      <c r="K81" s="440">
        <f>SUM(K78:K79)</f>
        <v>0</v>
      </c>
      <c r="L81" s="842"/>
    </row>
    <row r="82" spans="1:12">
      <c r="A82" s="820"/>
      <c r="B82" s="428" t="s">
        <v>389</v>
      </c>
      <c r="C82" s="429" t="s">
        <v>62</v>
      </c>
      <c r="D82" s="816"/>
      <c r="E82" s="816"/>
      <c r="F82" s="816"/>
      <c r="H82" s="431"/>
      <c r="I82" s="444"/>
      <c r="J82" s="825"/>
      <c r="K82" s="437"/>
      <c r="L82" s="842"/>
    </row>
    <row r="83" spans="1:12">
      <c r="B83" s="421">
        <v>1</v>
      </c>
      <c r="C83" s="434"/>
      <c r="D83" s="415"/>
      <c r="E83" s="415"/>
      <c r="F83" s="415"/>
      <c r="G83" s="435"/>
      <c r="H83" s="272"/>
      <c r="I83" s="436">
        <v>0</v>
      </c>
      <c r="J83" s="432">
        <v>0</v>
      </c>
      <c r="K83" s="437">
        <f>I83*J83</f>
        <v>0</v>
      </c>
      <c r="L83" s="842"/>
    </row>
    <row r="84" spans="1:12">
      <c r="B84" s="421">
        <f>B83+1</f>
        <v>2</v>
      </c>
      <c r="C84" s="434"/>
      <c r="D84" s="415"/>
      <c r="E84" s="415"/>
      <c r="F84" s="415"/>
      <c r="G84" s="435"/>
      <c r="H84" s="272"/>
      <c r="I84" s="436">
        <v>0</v>
      </c>
      <c r="J84" s="432">
        <v>0</v>
      </c>
      <c r="K84" s="437">
        <f>I84*J84</f>
        <v>0</v>
      </c>
      <c r="L84" s="842"/>
    </row>
    <row r="85" spans="1:12">
      <c r="B85" s="421">
        <f>B84+1</f>
        <v>3</v>
      </c>
      <c r="C85" s="434"/>
      <c r="D85" s="415"/>
      <c r="E85" s="415"/>
      <c r="F85" s="415"/>
      <c r="G85" s="435"/>
      <c r="H85" s="272"/>
      <c r="I85" s="436">
        <v>0</v>
      </c>
      <c r="J85" s="432">
        <v>0</v>
      </c>
      <c r="K85" s="437">
        <f>I85*J85</f>
        <v>0</v>
      </c>
      <c r="L85" s="842"/>
    </row>
    <row r="86" spans="1:12">
      <c r="B86" s="421"/>
      <c r="C86" s="434"/>
      <c r="H86" s="431"/>
      <c r="I86" s="436"/>
      <c r="J86" s="825"/>
      <c r="K86" s="437"/>
      <c r="L86" s="842"/>
    </row>
    <row r="87" spans="1:12">
      <c r="B87" s="421"/>
      <c r="C87" s="434"/>
      <c r="G87" s="851"/>
      <c r="H87" s="431"/>
      <c r="I87" s="444"/>
      <c r="J87" s="832" t="s">
        <v>394</v>
      </c>
      <c r="K87" s="440">
        <f>SUM(K83:K85)</f>
        <v>0</v>
      </c>
      <c r="L87" s="842"/>
    </row>
    <row r="88" spans="1:12">
      <c r="B88" s="428" t="s">
        <v>395</v>
      </c>
      <c r="C88" s="429" t="s">
        <v>62</v>
      </c>
      <c r="D88" s="816"/>
      <c r="E88" s="816"/>
      <c r="F88" s="816"/>
      <c r="H88" s="431"/>
      <c r="I88" s="444"/>
      <c r="J88" s="825"/>
      <c r="K88" s="437"/>
      <c r="L88" s="842"/>
    </row>
    <row r="89" spans="1:12">
      <c r="B89" s="421"/>
      <c r="C89" s="434" t="s">
        <v>983</v>
      </c>
      <c r="D89" s="415"/>
      <c r="E89" s="415"/>
      <c r="F89" s="415"/>
      <c r="G89" s="435"/>
      <c r="H89" s="272"/>
      <c r="I89" s="436"/>
      <c r="J89" s="432"/>
      <c r="K89" s="437"/>
      <c r="L89" s="842"/>
    </row>
    <row r="90" spans="1:12">
      <c r="B90" s="421"/>
      <c r="C90" s="434"/>
      <c r="D90" s="415"/>
      <c r="E90" s="415"/>
      <c r="F90" s="415"/>
      <c r="G90" s="435"/>
      <c r="H90" s="272"/>
      <c r="I90" s="436"/>
      <c r="J90" s="432"/>
      <c r="K90" s="437"/>
      <c r="L90" s="842"/>
    </row>
    <row r="91" spans="1:12">
      <c r="B91" s="421"/>
      <c r="C91" s="434"/>
      <c r="D91" s="415"/>
      <c r="E91" s="415"/>
      <c r="F91" s="415"/>
      <c r="G91" s="435"/>
      <c r="H91" s="272"/>
      <c r="I91" s="436"/>
      <c r="J91" s="432"/>
      <c r="K91" s="437"/>
      <c r="L91" s="842"/>
    </row>
    <row r="92" spans="1:12">
      <c r="B92" s="421"/>
      <c r="C92" s="434"/>
      <c r="D92" s="415"/>
      <c r="E92" s="415"/>
      <c r="F92" s="415"/>
      <c r="G92" s="435"/>
      <c r="H92" s="272"/>
      <c r="I92" s="436"/>
      <c r="J92" s="432"/>
      <c r="K92" s="437"/>
      <c r="L92" s="842"/>
    </row>
    <row r="93" spans="1:12">
      <c r="B93" s="421"/>
      <c r="C93" s="434"/>
      <c r="D93" s="415"/>
      <c r="E93" s="415"/>
      <c r="F93" s="415"/>
      <c r="G93" s="435"/>
      <c r="H93" s="272"/>
      <c r="I93" s="436"/>
      <c r="J93" s="432"/>
      <c r="K93" s="437"/>
      <c r="L93" s="842"/>
    </row>
    <row r="94" spans="1:12">
      <c r="B94" s="421"/>
      <c r="C94" s="434"/>
      <c r="D94" s="415"/>
      <c r="E94" s="415"/>
      <c r="F94" s="415"/>
      <c r="G94" s="435"/>
      <c r="H94" s="272"/>
      <c r="I94" s="436"/>
      <c r="J94" s="432"/>
      <c r="K94" s="437"/>
      <c r="L94" s="842"/>
    </row>
    <row r="95" spans="1:12">
      <c r="B95" s="421"/>
      <c r="C95" s="434"/>
      <c r="D95" s="415"/>
      <c r="E95" s="415"/>
      <c r="F95" s="415"/>
      <c r="G95" s="435"/>
      <c r="H95" s="272"/>
      <c r="I95" s="436"/>
      <c r="J95" s="439"/>
      <c r="K95" s="437"/>
      <c r="L95" s="842"/>
    </row>
    <row r="96" spans="1:12">
      <c r="B96" s="1003"/>
      <c r="C96" s="1004" t="s">
        <v>652</v>
      </c>
      <c r="D96" s="1005"/>
      <c r="E96" s="1005"/>
      <c r="F96" s="1005"/>
      <c r="G96" s="1006"/>
      <c r="H96" s="1007"/>
      <c r="I96" s="1008"/>
      <c r="J96" s="832" t="s">
        <v>500</v>
      </c>
      <c r="K96" s="1009">
        <f>SUM(K89:K94)</f>
        <v>0</v>
      </c>
      <c r="L96" s="842"/>
    </row>
    <row r="97" spans="2:12">
      <c r="B97" s="428" t="s">
        <v>404</v>
      </c>
      <c r="C97" s="429" t="s">
        <v>62</v>
      </c>
      <c r="D97" s="816"/>
      <c r="E97" s="816"/>
      <c r="F97" s="816"/>
      <c r="H97" s="431"/>
      <c r="I97" s="444"/>
      <c r="J97" s="825"/>
      <c r="K97" s="437"/>
      <c r="L97" s="842"/>
    </row>
    <row r="98" spans="2:12">
      <c r="B98" s="421">
        <v>1</v>
      </c>
      <c r="C98" s="434"/>
      <c r="D98" s="415"/>
      <c r="E98" s="415"/>
      <c r="F98" s="415"/>
      <c r="G98" s="435"/>
      <c r="H98" s="272"/>
      <c r="I98" s="436">
        <v>0</v>
      </c>
      <c r="J98" s="432">
        <v>0</v>
      </c>
      <c r="K98" s="437">
        <f>I98*J98</f>
        <v>0</v>
      </c>
      <c r="L98" s="842"/>
    </row>
    <row r="99" spans="2:12">
      <c r="B99" s="421">
        <f>B98+1</f>
        <v>2</v>
      </c>
      <c r="C99" s="434"/>
      <c r="D99" s="415"/>
      <c r="E99" s="415"/>
      <c r="F99" s="415"/>
      <c r="G99" s="435"/>
      <c r="H99" s="272"/>
      <c r="I99" s="436">
        <v>0</v>
      </c>
      <c r="J99" s="432">
        <v>0</v>
      </c>
      <c r="K99" s="437">
        <f>I99*J99</f>
        <v>0</v>
      </c>
      <c r="L99" s="842"/>
    </row>
    <row r="100" spans="2:12">
      <c r="B100" s="421">
        <f t="shared" ref="B100:B102" si="10">B99+1</f>
        <v>3</v>
      </c>
      <c r="C100" s="434"/>
      <c r="D100" s="415"/>
      <c r="E100" s="415"/>
      <c r="F100" s="415"/>
      <c r="G100" s="435"/>
      <c r="H100" s="272"/>
      <c r="I100" s="436">
        <v>0</v>
      </c>
      <c r="J100" s="432">
        <v>0</v>
      </c>
      <c r="K100" s="437">
        <f>I100*J100</f>
        <v>0</v>
      </c>
      <c r="L100" s="842"/>
    </row>
    <row r="101" spans="2:12">
      <c r="B101" s="421">
        <f t="shared" si="10"/>
        <v>4</v>
      </c>
      <c r="C101" s="434"/>
      <c r="D101" s="415"/>
      <c r="E101" s="415"/>
      <c r="F101" s="415"/>
      <c r="G101" s="435"/>
      <c r="H101" s="272"/>
      <c r="I101" s="436">
        <v>0</v>
      </c>
      <c r="J101" s="432">
        <v>0</v>
      </c>
      <c r="K101" s="437">
        <f>I101*J101</f>
        <v>0</v>
      </c>
      <c r="L101" s="842"/>
    </row>
    <row r="102" spans="2:12">
      <c r="B102" s="421">
        <f t="shared" si="10"/>
        <v>5</v>
      </c>
      <c r="C102" s="434"/>
      <c r="D102" s="415"/>
      <c r="E102" s="415"/>
      <c r="F102" s="415"/>
      <c r="G102" s="435"/>
      <c r="H102" s="272"/>
      <c r="I102" s="436">
        <v>0</v>
      </c>
      <c r="J102" s="432">
        <v>0</v>
      </c>
      <c r="K102" s="437">
        <f>I102*J102</f>
        <v>0</v>
      </c>
      <c r="L102" s="842"/>
    </row>
    <row r="103" spans="2:12">
      <c r="B103" s="421"/>
      <c r="C103" s="434"/>
      <c r="H103" s="431"/>
      <c r="I103" s="436"/>
      <c r="J103" s="825"/>
      <c r="K103" s="437"/>
      <c r="L103" s="842"/>
    </row>
    <row r="104" spans="2:12">
      <c r="B104" s="421"/>
      <c r="C104" s="434"/>
      <c r="G104" s="851"/>
      <c r="H104" s="431"/>
      <c r="I104" s="436"/>
      <c r="J104" s="832" t="s">
        <v>501</v>
      </c>
      <c r="K104" s="440">
        <f>SUM(K98:K102)</f>
        <v>0</v>
      </c>
      <c r="L104" s="843"/>
    </row>
    <row r="105" spans="2:12" ht="16.5" thickBot="1">
      <c r="B105" s="459"/>
      <c r="C105" s="460"/>
      <c r="D105" s="461"/>
      <c r="E105" s="461"/>
      <c r="F105" s="461"/>
      <c r="G105" s="461"/>
      <c r="H105" s="833"/>
      <c r="I105" s="464"/>
      <c r="J105" s="1001"/>
      <c r="K105" s="1002"/>
      <c r="L105" s="843"/>
    </row>
    <row r="106" spans="2:12">
      <c r="B106" s="421"/>
      <c r="G106" s="851"/>
      <c r="I106" s="968"/>
      <c r="J106" s="974"/>
      <c r="K106" s="440"/>
      <c r="L106" s="843"/>
    </row>
    <row r="107" spans="2:12">
      <c r="B107" s="421"/>
      <c r="G107" s="815"/>
      <c r="I107" s="968"/>
      <c r="J107" s="418" t="s">
        <v>410</v>
      </c>
      <c r="K107" s="467">
        <f>SUM(K13:K104)/2</f>
        <v>0</v>
      </c>
      <c r="L107" s="848"/>
    </row>
    <row r="108" spans="2:12" ht="16.5" thickBot="1">
      <c r="B108" s="468"/>
      <c r="C108" s="470"/>
      <c r="D108" s="470"/>
      <c r="E108" s="470"/>
      <c r="F108" s="470"/>
      <c r="G108" s="470"/>
      <c r="H108" s="472"/>
      <c r="I108" s="969"/>
      <c r="J108" s="971"/>
      <c r="K108" s="475"/>
      <c r="L108" s="841"/>
    </row>
    <row r="109" spans="2:12" ht="16.5" thickTop="1">
      <c r="I109" s="476"/>
      <c r="J109" s="477"/>
      <c r="K109" s="479"/>
      <c r="L109" s="841"/>
    </row>
    <row r="110" spans="2:12">
      <c r="I110" s="476"/>
      <c r="J110" s="477"/>
      <c r="K110" s="478"/>
      <c r="L110" s="841"/>
    </row>
    <row r="111" spans="2:12">
      <c r="I111" s="476"/>
      <c r="J111" s="477"/>
      <c r="K111" s="479"/>
      <c r="L111" s="841"/>
    </row>
    <row r="112" spans="2:12">
      <c r="I112" s="476"/>
      <c r="J112" s="477"/>
      <c r="K112" s="478"/>
      <c r="L112" s="841"/>
    </row>
    <row r="113" spans="8:12">
      <c r="I113" s="476"/>
      <c r="J113" s="477"/>
      <c r="K113" s="479"/>
      <c r="L113" s="841"/>
    </row>
    <row r="114" spans="8:12">
      <c r="I114" s="476"/>
      <c r="J114" s="477"/>
      <c r="K114" s="479"/>
      <c r="L114" s="841"/>
    </row>
    <row r="115" spans="8:12">
      <c r="I115" s="476"/>
      <c r="J115" s="477"/>
      <c r="K115" s="479"/>
      <c r="L115" s="841"/>
    </row>
    <row r="116" spans="8:12">
      <c r="I116" s="476"/>
      <c r="J116" s="477"/>
      <c r="K116" s="479"/>
      <c r="L116" s="841"/>
    </row>
    <row r="117" spans="8:12">
      <c r="I117" s="476"/>
      <c r="J117" s="477"/>
      <c r="K117" s="479"/>
      <c r="L117" s="841"/>
    </row>
    <row r="118" spans="8:12">
      <c r="I118" s="476"/>
      <c r="J118" s="477"/>
      <c r="K118" s="479"/>
      <c r="L118" s="841"/>
    </row>
    <row r="119" spans="8:12">
      <c r="I119" s="476"/>
      <c r="J119" s="477"/>
      <c r="K119" s="479"/>
      <c r="L119" s="841"/>
    </row>
    <row r="120" spans="8:12">
      <c r="I120" s="476"/>
      <c r="J120" s="477"/>
      <c r="K120" s="479"/>
      <c r="L120" s="841"/>
    </row>
    <row r="121" spans="8:12">
      <c r="I121" s="476"/>
      <c r="J121" s="477"/>
      <c r="K121" s="479"/>
      <c r="L121" s="841"/>
    </row>
    <row r="123" spans="8:12">
      <c r="H123" s="851"/>
      <c r="K123" s="480"/>
    </row>
    <row r="124" spans="8:12">
      <c r="H124" s="851"/>
      <c r="K124" s="818"/>
    </row>
    <row r="125" spans="8:12">
      <c r="K125" s="481"/>
    </row>
    <row r="126" spans="8:12">
      <c r="H126" s="851"/>
    </row>
    <row r="131" spans="8:8">
      <c r="H131" s="853"/>
    </row>
  </sheetData>
  <mergeCells count="1">
    <mergeCell ref="I8:K8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49407D-9AEA-497F-8100-965C1A5D4081}">
  <sheetPr>
    <tabColor rgb="FFFFFF00"/>
    <pageSetUpPr fitToPage="1"/>
  </sheetPr>
  <dimension ref="A2:L34"/>
  <sheetViews>
    <sheetView topLeftCell="A13" workbookViewId="0">
      <selection activeCell="D22" sqref="D22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933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934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Toilet 34m2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tr">
        <f>BQToilet34!C13</f>
        <v>PEKERJAAN PERSIAPAN DAN PENYELESAIAN</v>
      </c>
      <c r="D14" s="58"/>
      <c r="E14" s="58"/>
      <c r="F14" s="58"/>
      <c r="G14" s="58"/>
      <c r="H14" s="483">
        <f>BQToilet34!K19</f>
        <v>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tr">
        <f>BQToilet34!C20</f>
        <v>PEKERJAAN LAN</v>
      </c>
      <c r="D15" s="58"/>
      <c r="E15" s="58"/>
      <c r="F15" s="58"/>
      <c r="G15" s="58"/>
      <c r="H15" s="483">
        <f>BQToilet34!K27</f>
        <v>0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tr">
        <f>BQToilet34!C28</f>
        <v>PEKERJAAN CCTV</v>
      </c>
      <c r="D16" s="58"/>
      <c r="E16" s="58"/>
      <c r="F16" s="58"/>
      <c r="G16" s="58"/>
      <c r="H16" s="483">
        <f>BQToilet34!K38</f>
        <v>0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tr">
        <f>BQToilet34!C39</f>
        <v>PEKERJAAN WIFI</v>
      </c>
      <c r="D17" s="58"/>
      <c r="E17" s="58"/>
      <c r="F17" s="58"/>
      <c r="G17" s="58"/>
      <c r="H17" s="483">
        <f>BQToilet34!K47</f>
        <v>0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tr">
        <f>BQToilet34!C48</f>
        <v>PEKERJAAN PABX</v>
      </c>
      <c r="D18" s="58"/>
      <c r="E18" s="58"/>
      <c r="F18" s="58"/>
      <c r="G18" s="58"/>
      <c r="H18" s="483">
        <f>BQToilet34!K56</f>
        <v>0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tr">
        <f>BQToilet34!C57</f>
        <v>MATERIAL TAMBAHAN</v>
      </c>
      <c r="D19" s="58"/>
      <c r="E19" s="58"/>
      <c r="F19" s="58"/>
      <c r="G19" s="58"/>
      <c r="H19" s="483">
        <f>BQToilet34!K61</f>
        <v>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tr">
        <f>BQToilet34!C62</f>
        <v>-</v>
      </c>
      <c r="D20" s="58"/>
      <c r="E20" s="58"/>
      <c r="F20" s="58"/>
      <c r="G20" s="58"/>
      <c r="H20" s="483">
        <f>BQToilet34!K65</f>
        <v>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tr">
        <f>BQToilet34!C66</f>
        <v>-</v>
      </c>
      <c r="D21" s="58"/>
      <c r="E21" s="58"/>
      <c r="F21" s="58"/>
      <c r="G21" s="58"/>
      <c r="H21" s="483">
        <f>BQToilet34!K72</f>
        <v>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tr">
        <f>BQToilet34!C73</f>
        <v>-</v>
      </c>
      <c r="D22" s="58"/>
      <c r="E22" s="58"/>
      <c r="F22" s="58"/>
      <c r="G22" s="58"/>
      <c r="H22" s="483">
        <f>BQToilet34!K76</f>
        <v>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tr">
        <f>BQToilet34!C77</f>
        <v>-</v>
      </c>
      <c r="D23" s="58"/>
      <c r="E23" s="58"/>
      <c r="F23" s="58"/>
      <c r="G23" s="58"/>
      <c r="H23" s="483">
        <f>BQToilet34!K81</f>
        <v>0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tr">
        <f>BQToilet34!C82</f>
        <v>-</v>
      </c>
      <c r="D24" s="58"/>
      <c r="E24" s="58"/>
      <c r="F24" s="58"/>
      <c r="G24" s="58"/>
      <c r="H24" s="483">
        <f>BQToilet34!K87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tr">
        <f>BQToilet34!C88</f>
        <v>-</v>
      </c>
      <c r="D25" s="58"/>
      <c r="E25" s="58"/>
      <c r="F25" s="58"/>
      <c r="G25" s="58"/>
      <c r="H25" s="483">
        <f>BQToilet34!K96</f>
        <v>0</v>
      </c>
      <c r="I25" s="39"/>
      <c r="J25" s="39"/>
      <c r="K25" s="39"/>
      <c r="L25" s="39"/>
    </row>
    <row r="26" spans="1:12" s="60" customFormat="1">
      <c r="A26" s="39"/>
      <c r="B26" s="55" t="s">
        <v>37</v>
      </c>
      <c r="C26" s="56" t="str">
        <f>BQToilet34!C97</f>
        <v>-</v>
      </c>
      <c r="D26" s="58"/>
      <c r="E26" s="58"/>
      <c r="F26" s="58"/>
      <c r="G26" s="58"/>
      <c r="H26" s="483">
        <f>BQToilet34!K104</f>
        <v>0</v>
      </c>
      <c r="I26" s="39"/>
      <c r="J26" s="39"/>
      <c r="K26" s="39"/>
      <c r="L26" s="39"/>
    </row>
    <row r="27" spans="1:12" ht="16.5" thickBot="1">
      <c r="B27" s="69"/>
      <c r="C27" s="70"/>
      <c r="D27" s="70"/>
      <c r="E27" s="70"/>
      <c r="F27" s="70"/>
      <c r="G27" s="70"/>
      <c r="H27" s="484"/>
    </row>
    <row r="28" spans="1:12" ht="17.25" thickTop="1" thickBot="1">
      <c r="B28" s="72"/>
      <c r="C28" s="73"/>
      <c r="D28" s="73"/>
      <c r="E28" s="73"/>
      <c r="F28" s="74" t="s">
        <v>41</v>
      </c>
      <c r="G28" s="74"/>
      <c r="H28" s="75">
        <f>SUM(H14:H26)</f>
        <v>0</v>
      </c>
    </row>
    <row r="29" spans="1:12" ht="16.5" thickTop="1">
      <c r="B29" s="76"/>
      <c r="C29" s="77"/>
      <c r="D29" s="77"/>
      <c r="E29" s="77"/>
      <c r="F29" s="77"/>
      <c r="G29" s="77"/>
      <c r="H29" s="78"/>
    </row>
    <row r="30" spans="1:12">
      <c r="B30" s="79"/>
      <c r="C30" s="56"/>
      <c r="D30" s="56"/>
      <c r="E30" s="58"/>
      <c r="F30" s="40" t="s">
        <v>5</v>
      </c>
      <c r="G30" s="43">
        <v>6</v>
      </c>
      <c r="H30" s="715">
        <f>G30*H28</f>
        <v>0</v>
      </c>
    </row>
    <row r="31" spans="1:12">
      <c r="B31" s="81"/>
      <c r="C31" s="41"/>
      <c r="E31" s="44"/>
      <c r="H31" s="82"/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60BB69-9883-4291-A852-04F68CC559A8}">
  <dimension ref="A1:Q132"/>
  <sheetViews>
    <sheetView topLeftCell="A51" zoomScale="85" zoomScaleNormal="85" workbookViewId="0">
      <selection activeCell="I75" sqref="I75"/>
    </sheetView>
  </sheetViews>
  <sheetFormatPr defaultColWidth="9.140625" defaultRowHeight="15.75"/>
  <cols>
    <col min="1" max="1" width="9.140625" style="814"/>
    <col min="2" max="2" width="6.42578125" style="814" customWidth="1"/>
    <col min="3" max="7" width="10.7109375" style="814" customWidth="1"/>
    <col min="8" max="8" width="7.42578125" style="815" bestFit="1" customWidth="1"/>
    <col min="9" max="9" width="9.42578125" style="814" customWidth="1"/>
    <col min="10" max="10" width="12.85546875" style="416" bestFit="1" customWidth="1"/>
    <col min="11" max="11" width="15.5703125" style="814" customWidth="1"/>
    <col min="12" max="12" width="9.28515625" style="814" customWidth="1"/>
    <col min="13" max="15" width="9.140625" style="814"/>
    <col min="16" max="16" width="14.140625" style="814" customWidth="1"/>
    <col min="17" max="17" width="11" style="814" bestFit="1" customWidth="1"/>
    <col min="18" max="16384" width="9.140625" style="814"/>
  </cols>
  <sheetData>
    <row r="1" spans="2:12">
      <c r="B1" s="414"/>
      <c r="C1" s="415"/>
      <c r="D1" s="415"/>
      <c r="E1" s="415"/>
      <c r="F1" s="415"/>
      <c r="G1" s="415"/>
      <c r="H1" s="415"/>
      <c r="I1" s="415"/>
      <c r="J1" s="415"/>
      <c r="K1" s="272"/>
    </row>
    <row r="2" spans="2:12">
      <c r="B2" s="414"/>
      <c r="C2" s="414"/>
      <c r="D2" s="414"/>
      <c r="E2" s="414"/>
      <c r="F2" s="414"/>
      <c r="G2" s="414"/>
      <c r="H2" s="414"/>
      <c r="I2" s="414"/>
      <c r="J2" s="414"/>
      <c r="K2" s="417"/>
    </row>
    <row r="3" spans="2:12">
      <c r="B3" s="414" t="s">
        <v>0</v>
      </c>
      <c r="C3" s="2"/>
      <c r="D3" s="2"/>
      <c r="E3" s="2"/>
      <c r="F3" s="2"/>
      <c r="G3" s="1"/>
      <c r="H3" s="5"/>
      <c r="I3" s="6"/>
      <c r="J3" s="1"/>
      <c r="K3" s="1"/>
    </row>
    <row r="4" spans="2:12">
      <c r="B4" s="859" t="s">
        <v>932</v>
      </c>
      <c r="C4" s="2"/>
      <c r="D4" s="2"/>
      <c r="E4" s="2"/>
      <c r="F4" s="2"/>
      <c r="G4" s="1"/>
      <c r="H4" s="5"/>
      <c r="I4" s="6"/>
      <c r="J4" s="1"/>
      <c r="K4" s="1"/>
    </row>
    <row r="5" spans="2:12">
      <c r="B5" s="850" t="s">
        <v>1</v>
      </c>
      <c r="C5" s="2"/>
      <c r="D5" s="2"/>
      <c r="E5" s="2"/>
      <c r="F5" s="2"/>
      <c r="G5" s="1"/>
      <c r="H5" s="5"/>
      <c r="I5" s="6"/>
      <c r="J5" s="1"/>
      <c r="K5" s="1"/>
    </row>
    <row r="6" spans="2:12">
      <c r="B6" s="414" t="s">
        <v>2</v>
      </c>
      <c r="C6" s="2"/>
      <c r="D6" s="2"/>
      <c r="E6" s="2"/>
      <c r="F6" s="2"/>
      <c r="G6" s="1"/>
      <c r="H6" s="5"/>
      <c r="I6" s="6"/>
      <c r="J6" s="1"/>
      <c r="K6" s="1"/>
      <c r="L6" s="1137"/>
    </row>
    <row r="7" spans="2:12">
      <c r="B7" s="850" t="s">
        <v>3</v>
      </c>
      <c r="C7" s="2"/>
      <c r="D7" s="2"/>
      <c r="E7" s="2"/>
      <c r="F7" s="2"/>
      <c r="G7" s="1"/>
      <c r="H7" s="5"/>
      <c r="I7" s="6"/>
      <c r="J7" s="1"/>
      <c r="K7" s="1"/>
      <c r="L7" s="1138"/>
    </row>
    <row r="8" spans="2:12" ht="16.5" thickBot="1">
      <c r="B8" s="1"/>
      <c r="C8" s="1"/>
      <c r="D8" s="1"/>
      <c r="E8" s="1"/>
      <c r="F8" s="1"/>
      <c r="G8" s="1"/>
      <c r="H8" s="1"/>
      <c r="I8" s="1136" t="str">
        <f>'11SumToilet34'!F8</f>
        <v>No. 011/RAB-Blok A-SSBP/I/2021</v>
      </c>
      <c r="J8" s="1136"/>
      <c r="K8" s="1136"/>
      <c r="L8" s="840"/>
    </row>
    <row r="9" spans="2:12" ht="16.5" thickTop="1">
      <c r="B9" s="962"/>
      <c r="C9" s="961"/>
      <c r="D9" s="9"/>
      <c r="E9" s="9"/>
      <c r="F9" s="9"/>
      <c r="G9" s="960"/>
      <c r="H9" s="959"/>
      <c r="I9" s="948"/>
      <c r="J9" s="860" t="s">
        <v>4</v>
      </c>
      <c r="K9" s="879" t="s">
        <v>5</v>
      </c>
      <c r="L9" s="841"/>
    </row>
    <row r="10" spans="2:12">
      <c r="B10" s="958" t="s">
        <v>6</v>
      </c>
      <c r="C10" s="957" t="s">
        <v>7</v>
      </c>
      <c r="D10" s="854"/>
      <c r="E10" s="854"/>
      <c r="F10" s="854"/>
      <c r="G10" s="956"/>
      <c r="H10" s="1010" t="s">
        <v>8</v>
      </c>
      <c r="I10" s="947" t="s">
        <v>9</v>
      </c>
      <c r="J10" s="862" t="s">
        <v>8</v>
      </c>
      <c r="K10" s="880" t="s">
        <v>4</v>
      </c>
      <c r="L10" s="841"/>
    </row>
    <row r="11" spans="2:12" ht="16.5" thickBot="1">
      <c r="B11" s="955"/>
      <c r="C11" s="954"/>
      <c r="D11" s="21"/>
      <c r="E11" s="21"/>
      <c r="F11" s="21"/>
      <c r="G11" s="953"/>
      <c r="H11" s="952"/>
      <c r="I11" s="946"/>
      <c r="J11" s="864" t="s">
        <v>10</v>
      </c>
      <c r="K11" s="881" t="s">
        <v>10</v>
      </c>
      <c r="L11" s="841"/>
    </row>
    <row r="12" spans="2:12" ht="16.5" thickTop="1">
      <c r="B12" s="421"/>
      <c r="C12" s="434"/>
      <c r="G12" s="435"/>
      <c r="I12" s="436"/>
      <c r="J12" s="432"/>
      <c r="K12" s="437"/>
      <c r="L12" s="842"/>
    </row>
    <row r="13" spans="2:12">
      <c r="B13" s="428" t="s">
        <v>11</v>
      </c>
      <c r="C13" s="429" t="s">
        <v>930</v>
      </c>
      <c r="G13" s="435"/>
      <c r="I13" s="436"/>
      <c r="J13" s="432"/>
      <c r="K13" s="437"/>
      <c r="L13" s="842"/>
    </row>
    <row r="14" spans="2:12">
      <c r="B14" s="421">
        <f>B12+1</f>
        <v>1</v>
      </c>
      <c r="C14" s="434" t="str">
        <f>[80]Sheet1!$B$3</f>
        <v xml:space="preserve">Pembersihan awal dan Selama Proyek Berjalan </v>
      </c>
      <c r="G14" s="435"/>
      <c r="H14" s="272" t="s">
        <v>357</v>
      </c>
      <c r="I14" s="436">
        <v>0</v>
      </c>
      <c r="J14" s="432">
        <f>[80]Sheet1!$D$3</f>
        <v>1000000</v>
      </c>
      <c r="K14" s="437">
        <f>I14*J14</f>
        <v>0</v>
      </c>
      <c r="L14" s="842"/>
    </row>
    <row r="15" spans="2:12">
      <c r="B15" s="421">
        <v>2</v>
      </c>
      <c r="C15" s="434" t="str">
        <f>[80]Sheet1!$B$4</f>
        <v>Pembersihan akhir sampah dll</v>
      </c>
      <c r="G15" s="435"/>
      <c r="H15" s="272" t="s">
        <v>357</v>
      </c>
      <c r="I15" s="436">
        <v>0</v>
      </c>
      <c r="J15" s="432">
        <f>[80]Sheet1!$D$4</f>
        <v>1000000</v>
      </c>
      <c r="K15" s="437">
        <f t="shared" ref="K15:K17" si="0">I15*J15</f>
        <v>0</v>
      </c>
      <c r="L15" s="842"/>
    </row>
    <row r="16" spans="2:12">
      <c r="B16" s="421">
        <v>3</v>
      </c>
      <c r="C16" s="434" t="str">
        <f>[80]Sheet1!$B$5</f>
        <v>Survey</v>
      </c>
      <c r="G16" s="435"/>
      <c r="H16" s="272" t="s">
        <v>357</v>
      </c>
      <c r="I16" s="436">
        <v>0</v>
      </c>
      <c r="J16" s="432">
        <f>[80]Sheet1!$D$5</f>
        <v>2000000</v>
      </c>
      <c r="K16" s="437">
        <f t="shared" si="0"/>
        <v>0</v>
      </c>
      <c r="L16" s="842"/>
    </row>
    <row r="17" spans="2:12">
      <c r="B17" s="421">
        <v>4</v>
      </c>
      <c r="C17" s="434" t="str">
        <f>[80]Sheet1!$B$6</f>
        <v>Pembuatan gambar teknis</v>
      </c>
      <c r="G17" s="435"/>
      <c r="H17" s="272" t="s">
        <v>357</v>
      </c>
      <c r="I17" s="436">
        <v>0</v>
      </c>
      <c r="J17" s="432">
        <f>[80]Sheet1!$D$6</f>
        <v>1000000</v>
      </c>
      <c r="K17" s="437">
        <f t="shared" si="0"/>
        <v>0</v>
      </c>
      <c r="L17" s="842"/>
    </row>
    <row r="18" spans="2:12">
      <c r="B18" s="438"/>
      <c r="C18" s="434"/>
      <c r="G18" s="435"/>
      <c r="I18" s="436"/>
      <c r="J18" s="432"/>
      <c r="K18" s="437"/>
      <c r="L18" s="842"/>
    </row>
    <row r="19" spans="2:12">
      <c r="B19" s="421"/>
      <c r="C19" s="434"/>
      <c r="G19" s="883"/>
      <c r="I19" s="436"/>
      <c r="J19" s="439" t="s">
        <v>348</v>
      </c>
      <c r="K19" s="440">
        <f>SUM(K14:K17)</f>
        <v>0</v>
      </c>
      <c r="L19" s="843"/>
    </row>
    <row r="20" spans="2:12">
      <c r="B20" s="428" t="s">
        <v>349</v>
      </c>
      <c r="C20" s="429" t="s">
        <v>1005</v>
      </c>
      <c r="D20" s="816"/>
      <c r="E20" s="816"/>
      <c r="F20" s="816"/>
      <c r="G20" s="435"/>
      <c r="I20" s="436"/>
      <c r="J20" s="432"/>
      <c r="K20" s="437"/>
      <c r="L20" s="841"/>
    </row>
    <row r="21" spans="2:12">
      <c r="B21" s="421">
        <v>1</v>
      </c>
      <c r="C21" s="434" t="str">
        <f>[80]Sheet1!$B$8</f>
        <v> Kabel UTP</v>
      </c>
      <c r="G21" s="435"/>
      <c r="H21" s="272" t="s">
        <v>1006</v>
      </c>
      <c r="I21" s="436">
        <v>0</v>
      </c>
      <c r="J21" s="432">
        <f>[80]Sheet1!$D$8</f>
        <v>2000000</v>
      </c>
      <c r="K21" s="437">
        <f>I21*J21</f>
        <v>0</v>
      </c>
      <c r="L21" s="842"/>
    </row>
    <row r="22" spans="2:12">
      <c r="B22" s="421">
        <f>B21+1</f>
        <v>2</v>
      </c>
      <c r="C22" s="434" t="str">
        <f>[80]Sheet1!$B$9</f>
        <v>Konektor RJ-45</v>
      </c>
      <c r="G22" s="435"/>
      <c r="H22" s="272" t="s">
        <v>1013</v>
      </c>
      <c r="I22" s="436">
        <v>0</v>
      </c>
      <c r="J22" s="432">
        <f>[80]Sheet1!$D$9</f>
        <v>1500000</v>
      </c>
      <c r="K22" s="437">
        <f>I22*J22</f>
        <v>0</v>
      </c>
      <c r="L22" s="842"/>
    </row>
    <row r="23" spans="2:12">
      <c r="B23" s="421">
        <f>B22+1</f>
        <v>3</v>
      </c>
      <c r="C23" s="434" t="str">
        <f>[80]Sheet1!$B$10</f>
        <v>Kartu Jaringan (LAN Card)</v>
      </c>
      <c r="G23" s="435"/>
      <c r="H23" s="272" t="s">
        <v>392</v>
      </c>
      <c r="I23" s="436">
        <v>0</v>
      </c>
      <c r="J23" s="432">
        <f>[80]Sheet1!$D$10</f>
        <v>1500000</v>
      </c>
      <c r="K23" s="437">
        <f>I23*J23</f>
        <v>0</v>
      </c>
      <c r="L23" s="842"/>
    </row>
    <row r="24" spans="2:12">
      <c r="B24" s="421">
        <f t="shared" ref="B24:B25" si="1">B23+1</f>
        <v>4</v>
      </c>
      <c r="C24" s="434" t="str">
        <f>[80]Sheet1!$B$11</f>
        <v>Switch / Hub Managable</v>
      </c>
      <c r="G24" s="435"/>
      <c r="H24" s="272" t="s">
        <v>392</v>
      </c>
      <c r="I24" s="436">
        <v>0</v>
      </c>
      <c r="J24" s="432">
        <f>[80]Sheet1!$D$11</f>
        <v>10000000</v>
      </c>
      <c r="K24" s="437">
        <f t="shared" ref="K24:K25" si="2">I24*J24</f>
        <v>0</v>
      </c>
      <c r="L24" s="842"/>
    </row>
    <row r="25" spans="2:12">
      <c r="B25" s="421">
        <f t="shared" si="1"/>
        <v>5</v>
      </c>
      <c r="C25" s="434" t="str">
        <f>[80]Sheet1!$B$12</f>
        <v>Alat dukung</v>
      </c>
      <c r="G25" s="435"/>
      <c r="H25" s="272" t="s">
        <v>392</v>
      </c>
      <c r="I25" s="436">
        <v>0</v>
      </c>
      <c r="J25" s="432">
        <f>[80]Sheet1!$D$12</f>
        <v>500000</v>
      </c>
      <c r="K25" s="437">
        <f t="shared" si="2"/>
        <v>0</v>
      </c>
      <c r="L25" s="842"/>
    </row>
    <row r="26" spans="2:12">
      <c r="B26" s="421"/>
      <c r="C26" s="434"/>
      <c r="G26" s="435"/>
      <c r="I26" s="436"/>
      <c r="J26" s="432"/>
      <c r="K26" s="437"/>
      <c r="L26" s="841"/>
    </row>
    <row r="27" spans="2:12">
      <c r="B27" s="421"/>
      <c r="C27" s="434"/>
      <c r="G27" s="883"/>
      <c r="I27" s="436"/>
      <c r="J27" s="439" t="s">
        <v>353</v>
      </c>
      <c r="K27" s="440">
        <f>SUM(K21:K26)</f>
        <v>0</v>
      </c>
      <c r="L27" s="843"/>
    </row>
    <row r="28" spans="2:12">
      <c r="B28" s="428" t="s">
        <v>354</v>
      </c>
      <c r="C28" s="429" t="s">
        <v>1012</v>
      </c>
      <c r="D28" s="816"/>
      <c r="E28" s="816"/>
      <c r="F28" s="816"/>
      <c r="G28" s="435"/>
      <c r="I28" s="436"/>
      <c r="J28" s="432"/>
      <c r="K28" s="437"/>
      <c r="L28" s="841"/>
    </row>
    <row r="29" spans="2:12">
      <c r="B29" s="421">
        <v>1</v>
      </c>
      <c r="C29" s="434" t="str">
        <f>[80]Sheet1!$B$14</f>
        <v>Cctv indoor</v>
      </c>
      <c r="G29" s="435"/>
      <c r="H29" s="272" t="s">
        <v>392</v>
      </c>
      <c r="I29" s="436">
        <v>0</v>
      </c>
      <c r="J29" s="432">
        <f>[80]Sheet1!$D$14</f>
        <v>3500000</v>
      </c>
      <c r="K29" s="437">
        <f>I29*J29</f>
        <v>0</v>
      </c>
      <c r="L29" s="842"/>
    </row>
    <row r="30" spans="2:12">
      <c r="B30" s="421">
        <v>2</v>
      </c>
      <c r="C30" s="434" t="str">
        <f>[80]Sheet1!$B$15</f>
        <v>Cctv outdoor</v>
      </c>
      <c r="G30" s="435"/>
      <c r="H30" s="272" t="s">
        <v>392</v>
      </c>
      <c r="I30" s="436">
        <v>0</v>
      </c>
      <c r="J30" s="432">
        <f>[80]Sheet1!$D$15</f>
        <v>3500000</v>
      </c>
      <c r="K30" s="437">
        <f>I30*J30</f>
        <v>0</v>
      </c>
      <c r="L30" s="842"/>
    </row>
    <row r="31" spans="2:12">
      <c r="B31" s="421">
        <f>B30+1</f>
        <v>3</v>
      </c>
      <c r="C31" s="434" t="str">
        <f>[80]Sheet1!$B$16</f>
        <v>DVR</v>
      </c>
      <c r="G31" s="435"/>
      <c r="H31" s="272" t="s">
        <v>392</v>
      </c>
      <c r="I31" s="436">
        <v>0</v>
      </c>
      <c r="J31" s="432">
        <f>[80]Sheet1!$D$16</f>
        <v>5000000</v>
      </c>
      <c r="K31" s="437">
        <f>I31*J31</f>
        <v>0</v>
      </c>
      <c r="L31" s="842"/>
    </row>
    <row r="32" spans="2:12">
      <c r="B32" s="421">
        <f t="shared" ref="B32:B35" si="3">B31+1</f>
        <v>4</v>
      </c>
      <c r="C32" s="434" t="str">
        <f>[80]Sheet1!$B$17</f>
        <v>Adapter dan Power Supply.</v>
      </c>
      <c r="G32" s="435"/>
      <c r="H32" s="272" t="s">
        <v>392</v>
      </c>
      <c r="I32" s="436">
        <v>0</v>
      </c>
      <c r="J32" s="432">
        <f>[80]Sheet1!$D$17</f>
        <v>900000</v>
      </c>
      <c r="K32" s="437">
        <f t="shared" ref="K32:K36" si="4">I32*J32</f>
        <v>0</v>
      </c>
      <c r="L32" s="842"/>
    </row>
    <row r="33" spans="2:12">
      <c r="B33" s="421">
        <f t="shared" si="3"/>
        <v>5</v>
      </c>
      <c r="C33" s="434" t="str">
        <f>[80]Sheet1!$B$18</f>
        <v>Kabel Power.</v>
      </c>
      <c r="G33" s="435"/>
      <c r="H33" s="272" t="s">
        <v>1006</v>
      </c>
      <c r="I33" s="436">
        <v>0</v>
      </c>
      <c r="J33" s="432">
        <f>[80]Sheet1!$D$18</f>
        <v>1000000</v>
      </c>
      <c r="K33" s="437">
        <f t="shared" si="4"/>
        <v>0</v>
      </c>
      <c r="L33" s="842"/>
    </row>
    <row r="34" spans="2:12">
      <c r="B34" s="421">
        <f t="shared" si="3"/>
        <v>6</v>
      </c>
      <c r="C34" s="434" t="str">
        <f>[80]Sheet1!$B$19</f>
        <v>Crimp Kabel.</v>
      </c>
      <c r="G34" s="435"/>
      <c r="H34" s="272" t="s">
        <v>392</v>
      </c>
      <c r="I34" s="436">
        <v>0</v>
      </c>
      <c r="J34" s="432">
        <f>[80]Sheet1!$D$19</f>
        <v>2000000</v>
      </c>
      <c r="K34" s="437">
        <f t="shared" si="4"/>
        <v>0</v>
      </c>
      <c r="L34" s="842"/>
    </row>
    <row r="35" spans="2:12">
      <c r="B35" s="421">
        <f t="shared" si="3"/>
        <v>7</v>
      </c>
      <c r="C35" s="434" t="str">
        <f>[80]Sheet1!$B$20</f>
        <v>Kabel Coaxial.</v>
      </c>
      <c r="G35" s="435"/>
      <c r="H35" s="272" t="s">
        <v>1006</v>
      </c>
      <c r="I35" s="436">
        <v>0</v>
      </c>
      <c r="J35" s="432">
        <f>[80]Sheet1!$D$20</f>
        <v>3500000</v>
      </c>
      <c r="K35" s="437">
        <f t="shared" si="4"/>
        <v>0</v>
      </c>
      <c r="L35" s="842"/>
    </row>
    <row r="36" spans="2:12">
      <c r="B36" s="421">
        <f>B35+1</f>
        <v>8</v>
      </c>
      <c r="C36" s="434" t="str">
        <f>[80]Sheet1!$B$21</f>
        <v>Konektor RF.</v>
      </c>
      <c r="G36" s="435"/>
      <c r="H36" s="272" t="s">
        <v>1013</v>
      </c>
      <c r="I36" s="436">
        <v>0</v>
      </c>
      <c r="J36" s="432">
        <f>[80]Sheet1!$D$21</f>
        <v>1000000</v>
      </c>
      <c r="K36" s="437">
        <f t="shared" si="4"/>
        <v>0</v>
      </c>
      <c r="L36" s="842"/>
    </row>
    <row r="37" spans="2:12">
      <c r="B37" s="438"/>
      <c r="C37" s="434"/>
      <c r="G37" s="435"/>
      <c r="I37" s="444"/>
      <c r="J37" s="432"/>
      <c r="K37" s="437"/>
      <c r="L37" s="842"/>
    </row>
    <row r="38" spans="2:12">
      <c r="B38" s="421"/>
      <c r="C38" s="434"/>
      <c r="G38" s="883"/>
      <c r="I38" s="444"/>
      <c r="J38" s="439" t="s">
        <v>358</v>
      </c>
      <c r="K38" s="440">
        <f>SUM(K29:K36)</f>
        <v>0</v>
      </c>
      <c r="L38" s="843"/>
    </row>
    <row r="39" spans="2:12">
      <c r="B39" s="428" t="s">
        <v>359</v>
      </c>
      <c r="C39" s="568" t="s">
        <v>1008</v>
      </c>
      <c r="D39" s="816"/>
      <c r="E39" s="816"/>
      <c r="F39" s="816"/>
      <c r="G39" s="435"/>
      <c r="I39" s="444"/>
      <c r="J39" s="432"/>
      <c r="K39" s="437"/>
      <c r="L39" s="841"/>
    </row>
    <row r="40" spans="2:12">
      <c r="B40" s="421">
        <v>1</v>
      </c>
      <c r="C40" s="434" t="str">
        <f>[80]Sheet1!$B$23</f>
        <v>Acess Point</v>
      </c>
      <c r="G40" s="884"/>
      <c r="H40" s="272" t="s">
        <v>392</v>
      </c>
      <c r="I40" s="445">
        <v>0</v>
      </c>
      <c r="J40" s="446">
        <f>[80]Sheet1!$D$23</f>
        <v>8500000</v>
      </c>
      <c r="K40" s="437">
        <f>I40*J40</f>
        <v>0</v>
      </c>
      <c r="L40" s="842"/>
    </row>
    <row r="41" spans="2:12">
      <c r="B41" s="421">
        <v>2</v>
      </c>
      <c r="C41" s="434" t="str">
        <f>[80]Sheet1!$B$24</f>
        <v>Antena Omni</v>
      </c>
      <c r="G41" s="884"/>
      <c r="H41" s="272" t="s">
        <v>392</v>
      </c>
      <c r="I41" s="445">
        <v>0</v>
      </c>
      <c r="J41" s="446">
        <f>[80]Sheet1!$D$24</f>
        <v>10000000</v>
      </c>
      <c r="K41" s="437">
        <f t="shared" ref="K41:K45" si="5">I41*J41</f>
        <v>0</v>
      </c>
      <c r="L41" s="842"/>
    </row>
    <row r="42" spans="2:12">
      <c r="B42" s="421">
        <v>3</v>
      </c>
      <c r="C42" s="434" t="str">
        <f>[80]Sheet1!$B$25</f>
        <v>Kabel Pigtail/Kabel Jumper</v>
      </c>
      <c r="G42" s="884"/>
      <c r="H42" s="272" t="s">
        <v>1006</v>
      </c>
      <c r="I42" s="445">
        <v>0</v>
      </c>
      <c r="J42" s="446">
        <f>[80]Sheet1!$D$25</f>
        <v>500000</v>
      </c>
      <c r="K42" s="437">
        <f t="shared" si="5"/>
        <v>0</v>
      </c>
      <c r="L42" s="842"/>
    </row>
    <row r="43" spans="2:12">
      <c r="B43" s="421">
        <v>4</v>
      </c>
      <c r="C43" s="434" t="str">
        <f>[80]Sheet1!$B$26</f>
        <v>POE (Power Over Ethernet)</v>
      </c>
      <c r="G43" s="884"/>
      <c r="H43" s="272" t="s">
        <v>392</v>
      </c>
      <c r="I43" s="445">
        <v>0</v>
      </c>
      <c r="J43" s="446">
        <f>[80]Sheet1!$D$26</f>
        <v>2000000</v>
      </c>
      <c r="K43" s="437">
        <f t="shared" si="5"/>
        <v>0</v>
      </c>
      <c r="L43" s="842"/>
    </row>
    <row r="44" spans="2:12">
      <c r="B44" s="421">
        <v>5</v>
      </c>
      <c r="C44" s="434" t="str">
        <f>[80]Sheet1!$B$27</f>
        <v>Kabel UTP/STP</v>
      </c>
      <c r="G44" s="884"/>
      <c r="H44" s="272" t="s">
        <v>1006</v>
      </c>
      <c r="I44" s="445">
        <v>0</v>
      </c>
      <c r="J44" s="446">
        <f>[80]Sheet1!$D$27</f>
        <v>3000000</v>
      </c>
      <c r="K44" s="437">
        <f t="shared" si="5"/>
        <v>0</v>
      </c>
      <c r="L44" s="842"/>
    </row>
    <row r="45" spans="2:12">
      <c r="B45" s="421">
        <v>6</v>
      </c>
      <c r="C45" s="434" t="str">
        <f>[80]Sheet1!$B$28</f>
        <v>Penangkal Petir (Lightning Arrester)</v>
      </c>
      <c r="G45" s="884"/>
      <c r="H45" s="272" t="s">
        <v>392</v>
      </c>
      <c r="I45" s="445">
        <v>0</v>
      </c>
      <c r="J45" s="446">
        <f>[80]Sheet1!$D$28</f>
        <v>3000000</v>
      </c>
      <c r="K45" s="437">
        <f t="shared" si="5"/>
        <v>0</v>
      </c>
      <c r="L45" s="842"/>
    </row>
    <row r="46" spans="2:12">
      <c r="B46" s="421"/>
      <c r="C46" s="434"/>
      <c r="G46" s="884"/>
      <c r="I46" s="445"/>
      <c r="J46" s="446"/>
      <c r="K46" s="437"/>
      <c r="L46" s="842"/>
    </row>
    <row r="47" spans="2:12">
      <c r="B47" s="421"/>
      <c r="C47" s="434"/>
      <c r="G47" s="884"/>
      <c r="I47" s="444"/>
      <c r="J47" s="439" t="s">
        <v>361</v>
      </c>
      <c r="K47" s="440">
        <f>SUM(K40:K45)</f>
        <v>0</v>
      </c>
      <c r="L47" s="843"/>
    </row>
    <row r="48" spans="2:12">
      <c r="B48" s="428" t="s">
        <v>362</v>
      </c>
      <c r="C48" s="429" t="s">
        <v>1010</v>
      </c>
      <c r="D48" s="816"/>
      <c r="E48" s="816"/>
      <c r="F48" s="816"/>
      <c r="G48" s="435"/>
      <c r="I48" s="444"/>
      <c r="J48" s="432"/>
      <c r="K48" s="437"/>
      <c r="L48" s="841"/>
    </row>
    <row r="49" spans="2:16">
      <c r="B49" s="421">
        <v>1</v>
      </c>
      <c r="C49" s="434" t="str">
        <f>[80]Sheet1!$B$30</f>
        <v>Kabel Telepon outdoor</v>
      </c>
      <c r="G49" s="435"/>
      <c r="H49" s="272" t="s">
        <v>1006</v>
      </c>
      <c r="I49" s="447">
        <f>I40</f>
        <v>0</v>
      </c>
      <c r="J49" s="432">
        <f>[80]Sheet1!$D$30</f>
        <v>4500000</v>
      </c>
      <c r="K49" s="437">
        <f>I49*J49</f>
        <v>0</v>
      </c>
      <c r="L49" s="842"/>
    </row>
    <row r="50" spans="2:16">
      <c r="B50" s="421">
        <f>B49+1</f>
        <v>2</v>
      </c>
      <c r="C50" s="434" t="str">
        <f>[80]Sheet1!$B$31</f>
        <v>Kabel Telepon Indoor</v>
      </c>
      <c r="G50" s="435"/>
      <c r="H50" s="272" t="s">
        <v>1006</v>
      </c>
      <c r="I50" s="436">
        <f>I40</f>
        <v>0</v>
      </c>
      <c r="J50" s="432">
        <f>[80]Sheet1!$D$31</f>
        <v>4000000</v>
      </c>
      <c r="K50" s="437">
        <f>I50*J50</f>
        <v>0</v>
      </c>
      <c r="L50" s="842"/>
    </row>
    <row r="51" spans="2:16">
      <c r="B51" s="421">
        <f t="shared" ref="B51:B54" si="6">B50+1</f>
        <v>3</v>
      </c>
      <c r="C51" s="434" t="str">
        <f>[80]Sheet1!$B$32</f>
        <v>Box Telepon Konektor</v>
      </c>
      <c r="G51" s="435"/>
      <c r="H51" s="272" t="s">
        <v>392</v>
      </c>
      <c r="I51" s="436">
        <f t="shared" ref="I51:I54" si="7">I41</f>
        <v>0</v>
      </c>
      <c r="J51" s="432">
        <f>[80]Sheet1!$D$32</f>
        <v>6500000</v>
      </c>
      <c r="K51" s="437">
        <f t="shared" ref="K51:K54" si="8">I51*J51</f>
        <v>0</v>
      </c>
      <c r="L51" s="842"/>
    </row>
    <row r="52" spans="2:16">
      <c r="B52" s="421">
        <f t="shared" si="6"/>
        <v>4</v>
      </c>
      <c r="C52" s="434" t="str">
        <f>[80]Sheet1!$B$33</f>
        <v>Kabel Protection ( Ugreen Cable Zipper Protection )</v>
      </c>
      <c r="G52" s="435"/>
      <c r="H52" s="272" t="s">
        <v>813</v>
      </c>
      <c r="I52" s="436">
        <f t="shared" si="7"/>
        <v>0</v>
      </c>
      <c r="J52" s="432">
        <f>[80]Sheet1!$D$33</f>
        <v>200000</v>
      </c>
      <c r="K52" s="437">
        <f t="shared" si="8"/>
        <v>0</v>
      </c>
      <c r="L52" s="842"/>
    </row>
    <row r="53" spans="2:16">
      <c r="B53" s="421">
        <f t="shared" si="6"/>
        <v>5</v>
      </c>
      <c r="C53" s="434" t="str">
        <f>[80]Sheet1!$B$34</f>
        <v>Paku Klem</v>
      </c>
      <c r="G53" s="435"/>
      <c r="H53" s="272" t="s">
        <v>1015</v>
      </c>
      <c r="I53" s="436">
        <f t="shared" si="7"/>
        <v>0</v>
      </c>
      <c r="J53" s="432">
        <f>[80]Sheet1!$D$34</f>
        <v>500000</v>
      </c>
      <c r="K53" s="437">
        <f t="shared" si="8"/>
        <v>0</v>
      </c>
      <c r="L53" s="842"/>
    </row>
    <row r="54" spans="2:16">
      <c r="B54" s="421">
        <f t="shared" si="6"/>
        <v>6</v>
      </c>
      <c r="C54" s="434" t="str">
        <f>[80]Sheet1!$B$35</f>
        <v>Peralatan kerja pabx</v>
      </c>
      <c r="G54" s="435"/>
      <c r="H54" s="272" t="s">
        <v>392</v>
      </c>
      <c r="I54" s="436">
        <f t="shared" si="7"/>
        <v>0</v>
      </c>
      <c r="J54" s="432">
        <f>[80]Sheet1!$D$35</f>
        <v>2000000</v>
      </c>
      <c r="K54" s="437">
        <f t="shared" si="8"/>
        <v>0</v>
      </c>
      <c r="L54" s="842"/>
    </row>
    <row r="55" spans="2:16">
      <c r="B55" s="671"/>
      <c r="C55" s="434"/>
      <c r="G55" s="435"/>
      <c r="I55" s="444"/>
      <c r="J55" s="432"/>
      <c r="K55" s="437"/>
      <c r="L55" s="842"/>
    </row>
    <row r="56" spans="2:16">
      <c r="B56" s="421"/>
      <c r="C56" s="434"/>
      <c r="G56" s="884"/>
      <c r="I56" s="444"/>
      <c r="J56" s="439" t="s">
        <v>365</v>
      </c>
      <c r="K56" s="440">
        <f>SUM(K49:K54)</f>
        <v>0</v>
      </c>
      <c r="L56" s="843"/>
      <c r="P56" s="818"/>
    </row>
    <row r="57" spans="2:16">
      <c r="B57" s="449" t="s">
        <v>366</v>
      </c>
      <c r="C57" s="568" t="s">
        <v>1009</v>
      </c>
      <c r="D57" s="816"/>
      <c r="E57" s="816"/>
      <c r="F57" s="816"/>
      <c r="G57" s="435"/>
      <c r="I57" s="444"/>
      <c r="J57" s="432"/>
      <c r="K57" s="437"/>
      <c r="L57" s="841"/>
    </row>
    <row r="58" spans="2:16">
      <c r="B58" s="421">
        <v>1</v>
      </c>
      <c r="C58" s="434" t="str">
        <f>[80]Sheet1!$B$37</f>
        <v>Rumah Kabel</v>
      </c>
      <c r="G58" s="435"/>
      <c r="H58" s="272" t="s">
        <v>1014</v>
      </c>
      <c r="I58" s="436">
        <v>0</v>
      </c>
      <c r="J58" s="432">
        <f>[80]Sheet1!$D$37</f>
        <v>1500000</v>
      </c>
      <c r="K58" s="437">
        <f>I58*J58</f>
        <v>0</v>
      </c>
      <c r="L58" s="842"/>
    </row>
    <row r="59" spans="2:16">
      <c r="B59" s="421">
        <f>B58+1</f>
        <v>2</v>
      </c>
      <c r="C59" s="434" t="str">
        <f>[80]Sheet1!$B$38</f>
        <v>paku-paku &amp; Klem</v>
      </c>
      <c r="G59" s="435"/>
      <c r="H59" s="272" t="s">
        <v>1015</v>
      </c>
      <c r="I59" s="436">
        <v>0</v>
      </c>
      <c r="J59" s="432">
        <f>[80]Sheet1!$D$38</f>
        <v>2000000</v>
      </c>
      <c r="K59" s="437">
        <f>I59*J59</f>
        <v>0</v>
      </c>
      <c r="L59" s="842"/>
    </row>
    <row r="60" spans="2:16">
      <c r="B60" s="421"/>
      <c r="C60" s="434"/>
      <c r="G60" s="435"/>
      <c r="I60" s="436"/>
      <c r="J60" s="432"/>
      <c r="K60" s="437"/>
      <c r="L60" s="842"/>
    </row>
    <row r="61" spans="2:16">
      <c r="B61" s="421"/>
      <c r="C61" s="434"/>
      <c r="G61" s="884"/>
      <c r="I61" s="444"/>
      <c r="J61" s="439" t="s">
        <v>368</v>
      </c>
      <c r="K61" s="440">
        <f>SUM(K58:K60)</f>
        <v>0</v>
      </c>
      <c r="L61" s="843"/>
    </row>
    <row r="62" spans="2:16">
      <c r="B62" s="428" t="s">
        <v>369</v>
      </c>
      <c r="C62" s="429" t="s">
        <v>62</v>
      </c>
      <c r="D62" s="816"/>
      <c r="E62" s="816"/>
      <c r="F62" s="816"/>
      <c r="G62" s="435"/>
      <c r="I62" s="444"/>
      <c r="J62" s="432"/>
      <c r="K62" s="437"/>
      <c r="L62" s="841"/>
    </row>
    <row r="63" spans="2:16">
      <c r="B63" s="438">
        <v>1</v>
      </c>
      <c r="C63" s="434"/>
      <c r="G63" s="435"/>
      <c r="I63" s="436">
        <v>0</v>
      </c>
      <c r="J63" s="432">
        <f>BQToilet30!J63</f>
        <v>0</v>
      </c>
      <c r="K63" s="437">
        <f>I63*J63</f>
        <v>0</v>
      </c>
      <c r="L63" s="842"/>
    </row>
    <row r="64" spans="2:16">
      <c r="B64" s="438"/>
      <c r="C64" s="434"/>
      <c r="G64" s="435"/>
      <c r="I64" s="436"/>
      <c r="J64" s="432"/>
      <c r="K64" s="437"/>
      <c r="L64" s="842"/>
    </row>
    <row r="65" spans="1:12">
      <c r="B65" s="421"/>
      <c r="C65" s="434"/>
      <c r="G65" s="884"/>
      <c r="I65" s="444"/>
      <c r="J65" s="439" t="s">
        <v>371</v>
      </c>
      <c r="K65" s="440">
        <f>SUM(K63:K63)</f>
        <v>0</v>
      </c>
      <c r="L65" s="843"/>
    </row>
    <row r="66" spans="1:12">
      <c r="B66" s="449" t="s">
        <v>372</v>
      </c>
      <c r="C66" s="429" t="s">
        <v>62</v>
      </c>
      <c r="D66" s="816"/>
      <c r="E66" s="816"/>
      <c r="F66" s="816"/>
      <c r="G66" s="435"/>
      <c r="I66" s="444"/>
      <c r="J66" s="432"/>
      <c r="K66" s="437"/>
      <c r="L66" s="841"/>
    </row>
    <row r="67" spans="1:12">
      <c r="B67" s="421">
        <v>1</v>
      </c>
      <c r="C67" s="434"/>
      <c r="G67" s="435"/>
      <c r="I67" s="436">
        <v>0</v>
      </c>
      <c r="J67" s="432">
        <v>0</v>
      </c>
      <c r="K67" s="437">
        <f>I67*J67</f>
        <v>0</v>
      </c>
      <c r="L67" s="842"/>
    </row>
    <row r="68" spans="1:12">
      <c r="B68" s="421">
        <f>B67+1</f>
        <v>2</v>
      </c>
      <c r="C68" s="434"/>
      <c r="G68" s="435"/>
      <c r="I68" s="436">
        <v>0</v>
      </c>
      <c r="J68" s="432">
        <v>0</v>
      </c>
      <c r="K68" s="437">
        <f>I68*J68</f>
        <v>0</v>
      </c>
      <c r="L68" s="842"/>
    </row>
    <row r="69" spans="1:12">
      <c r="B69" s="421">
        <f t="shared" ref="B69:B70" si="9">B68+1</f>
        <v>3</v>
      </c>
      <c r="C69" s="450"/>
      <c r="D69" s="820"/>
      <c r="E69" s="820"/>
      <c r="F69" s="820"/>
      <c r="G69" s="435"/>
      <c r="I69" s="436">
        <v>0</v>
      </c>
      <c r="J69" s="432">
        <v>0</v>
      </c>
      <c r="K69" s="437">
        <f>I69*J69</f>
        <v>0</v>
      </c>
      <c r="L69" s="842"/>
    </row>
    <row r="70" spans="1:12">
      <c r="B70" s="421">
        <f t="shared" si="9"/>
        <v>4</v>
      </c>
      <c r="C70" s="450"/>
      <c r="G70" s="435"/>
      <c r="I70" s="436">
        <v>0</v>
      </c>
      <c r="J70" s="432">
        <v>0</v>
      </c>
      <c r="K70" s="437">
        <f>I70*J70</f>
        <v>0</v>
      </c>
      <c r="L70" s="842"/>
    </row>
    <row r="71" spans="1:12">
      <c r="A71" s="998"/>
      <c r="B71" s="421"/>
      <c r="C71" s="434"/>
      <c r="G71" s="435"/>
      <c r="I71" s="444"/>
      <c r="J71" s="432"/>
      <c r="K71" s="437"/>
      <c r="L71" s="842"/>
    </row>
    <row r="72" spans="1:12">
      <c r="B72" s="421"/>
      <c r="C72" s="434"/>
      <c r="G72" s="884"/>
      <c r="I72" s="444"/>
      <c r="J72" s="439" t="s">
        <v>377</v>
      </c>
      <c r="K72" s="440">
        <f>SUM(K67:K71)</f>
        <v>0</v>
      </c>
      <c r="L72" s="843"/>
    </row>
    <row r="73" spans="1:12">
      <c r="A73" s="820"/>
      <c r="B73" s="428" t="s">
        <v>378</v>
      </c>
      <c r="C73" s="429" t="s">
        <v>62</v>
      </c>
      <c r="D73" s="816"/>
      <c r="E73" s="816"/>
      <c r="F73" s="816"/>
      <c r="G73" s="435"/>
      <c r="I73" s="444"/>
      <c r="J73" s="432"/>
      <c r="K73" s="437"/>
      <c r="L73" s="841"/>
    </row>
    <row r="74" spans="1:12">
      <c r="A74" s="820"/>
      <c r="B74" s="421">
        <v>1</v>
      </c>
      <c r="C74" s="434"/>
      <c r="G74" s="435"/>
      <c r="I74" s="436">
        <v>0</v>
      </c>
      <c r="J74" s="432">
        <f>BQToilet30!J74</f>
        <v>0</v>
      </c>
      <c r="K74" s="437">
        <f>I74*J74</f>
        <v>0</v>
      </c>
      <c r="L74" s="842"/>
    </row>
    <row r="75" spans="1:12">
      <c r="B75" s="421"/>
      <c r="C75" s="434"/>
      <c r="G75" s="435"/>
      <c r="I75" s="444"/>
      <c r="J75" s="432"/>
      <c r="K75" s="437"/>
      <c r="L75" s="842"/>
    </row>
    <row r="76" spans="1:12">
      <c r="B76" s="421"/>
      <c r="C76" s="434"/>
      <c r="G76" s="884"/>
      <c r="I76" s="444"/>
      <c r="J76" s="439" t="s">
        <v>383</v>
      </c>
      <c r="K76" s="440">
        <f>SUM(K74:K74)</f>
        <v>0</v>
      </c>
      <c r="L76" s="843"/>
    </row>
    <row r="77" spans="1:12">
      <c r="B77" s="428" t="s">
        <v>384</v>
      </c>
      <c r="C77" s="429" t="s">
        <v>62</v>
      </c>
      <c r="D77" s="816"/>
      <c r="E77" s="816"/>
      <c r="F77" s="816"/>
      <c r="G77" s="435"/>
      <c r="I77" s="444"/>
      <c r="J77" s="432"/>
      <c r="K77" s="437"/>
      <c r="L77" s="841"/>
    </row>
    <row r="78" spans="1:12">
      <c r="B78" s="421">
        <v>1</v>
      </c>
      <c r="C78" s="434"/>
      <c r="G78" s="435"/>
      <c r="I78" s="436">
        <v>0</v>
      </c>
      <c r="J78" s="432">
        <f>BQToilet30!J78</f>
        <v>0</v>
      </c>
      <c r="K78" s="437">
        <f>I78*J78</f>
        <v>0</v>
      </c>
      <c r="L78" s="842"/>
    </row>
    <row r="79" spans="1:12">
      <c r="B79" s="421">
        <v>2</v>
      </c>
      <c r="C79" s="434"/>
      <c r="G79" s="435"/>
      <c r="I79" s="436">
        <v>0</v>
      </c>
      <c r="J79" s="432">
        <f>BQToilet30!J79</f>
        <v>0</v>
      </c>
      <c r="K79" s="437">
        <f>I79*J79</f>
        <v>0</v>
      </c>
      <c r="L79" s="842"/>
    </row>
    <row r="80" spans="1:12">
      <c r="B80" s="421"/>
      <c r="C80" s="434"/>
      <c r="G80" s="435"/>
      <c r="I80" s="444"/>
      <c r="J80" s="432"/>
      <c r="K80" s="437"/>
      <c r="L80" s="842"/>
    </row>
    <row r="81" spans="1:17">
      <c r="B81" s="421"/>
      <c r="C81" s="434"/>
      <c r="G81" s="884"/>
      <c r="I81" s="444"/>
      <c r="J81" s="439" t="s">
        <v>388</v>
      </c>
      <c r="K81" s="440">
        <f>SUM(K78:K80)</f>
        <v>0</v>
      </c>
      <c r="L81" s="843"/>
      <c r="M81" s="818"/>
      <c r="N81" s="818"/>
      <c r="Q81" s="818"/>
    </row>
    <row r="82" spans="1:17">
      <c r="A82" s="820"/>
      <c r="B82" s="428" t="s">
        <v>389</v>
      </c>
      <c r="C82" s="429" t="s">
        <v>62</v>
      </c>
      <c r="D82" s="816"/>
      <c r="E82" s="816"/>
      <c r="F82" s="816"/>
      <c r="G82" s="435"/>
      <c r="I82" s="444"/>
      <c r="J82" s="432"/>
      <c r="K82" s="437"/>
      <c r="L82" s="841"/>
    </row>
    <row r="83" spans="1:17">
      <c r="B83" s="421">
        <v>1</v>
      </c>
      <c r="C83" s="434"/>
      <c r="D83" s="415"/>
      <c r="E83" s="415"/>
      <c r="F83" s="415"/>
      <c r="G83" s="435"/>
      <c r="H83" s="272"/>
      <c r="I83" s="436">
        <v>0</v>
      </c>
      <c r="J83" s="432">
        <v>0</v>
      </c>
      <c r="K83" s="437">
        <f>I83*J83</f>
        <v>0</v>
      </c>
      <c r="L83" s="842"/>
    </row>
    <row r="84" spans="1:17">
      <c r="B84" s="421">
        <f>B83+1</f>
        <v>2</v>
      </c>
      <c r="C84" s="434"/>
      <c r="D84" s="415"/>
      <c r="E84" s="415"/>
      <c r="F84" s="415"/>
      <c r="G84" s="435"/>
      <c r="H84" s="272"/>
      <c r="I84" s="436">
        <v>0</v>
      </c>
      <c r="J84" s="432">
        <v>0</v>
      </c>
      <c r="K84" s="437">
        <f>I84*J84</f>
        <v>0</v>
      </c>
      <c r="L84" s="842"/>
    </row>
    <row r="85" spans="1:17">
      <c r="B85" s="421">
        <f>B84+1</f>
        <v>3</v>
      </c>
      <c r="C85" s="434"/>
      <c r="D85" s="415"/>
      <c r="E85" s="415"/>
      <c r="F85" s="415"/>
      <c r="G85" s="435"/>
      <c r="H85" s="272"/>
      <c r="I85" s="436">
        <v>0</v>
      </c>
      <c r="J85" s="432">
        <v>0</v>
      </c>
      <c r="K85" s="437">
        <f>I85*J85</f>
        <v>0</v>
      </c>
      <c r="L85" s="842"/>
    </row>
    <row r="86" spans="1:17">
      <c r="B86" s="421"/>
      <c r="C86" s="434"/>
      <c r="G86" s="435"/>
      <c r="I86" s="444"/>
      <c r="J86" s="432"/>
      <c r="K86" s="437"/>
      <c r="L86" s="842"/>
    </row>
    <row r="87" spans="1:17">
      <c r="B87" s="421"/>
      <c r="C87" s="434"/>
      <c r="G87" s="884"/>
      <c r="I87" s="444"/>
      <c r="J87" s="439" t="s">
        <v>394</v>
      </c>
      <c r="K87" s="440">
        <f>SUM(K83:K85)</f>
        <v>0</v>
      </c>
      <c r="L87" s="843"/>
    </row>
    <row r="88" spans="1:17">
      <c r="B88" s="428" t="s">
        <v>404</v>
      </c>
      <c r="C88" s="429" t="s">
        <v>62</v>
      </c>
      <c r="D88" s="816"/>
      <c r="E88" s="816"/>
      <c r="F88" s="816"/>
      <c r="H88" s="431"/>
      <c r="I88" s="444"/>
      <c r="J88" s="432"/>
      <c r="K88" s="437"/>
      <c r="L88" s="841"/>
    </row>
    <row r="89" spans="1:17">
      <c r="B89" s="421"/>
      <c r="C89" s="434" t="s">
        <v>983</v>
      </c>
      <c r="D89" s="415"/>
      <c r="E89" s="415"/>
      <c r="F89" s="415"/>
      <c r="G89" s="435"/>
      <c r="H89" s="272"/>
      <c r="I89" s="436"/>
      <c r="J89" s="432"/>
      <c r="K89" s="437"/>
      <c r="L89" s="842"/>
    </row>
    <row r="90" spans="1:17">
      <c r="B90" s="421"/>
      <c r="C90" s="434"/>
      <c r="D90" s="415"/>
      <c r="E90" s="415"/>
      <c r="F90" s="415"/>
      <c r="G90" s="435"/>
      <c r="H90" s="272"/>
      <c r="I90" s="436"/>
      <c r="J90" s="432"/>
      <c r="K90" s="437"/>
      <c r="L90" s="842"/>
    </row>
    <row r="91" spans="1:17">
      <c r="B91" s="421"/>
      <c r="C91" s="434"/>
      <c r="D91" s="415"/>
      <c r="E91" s="415"/>
      <c r="F91" s="415"/>
      <c r="G91" s="435"/>
      <c r="H91" s="272"/>
      <c r="I91" s="436"/>
      <c r="J91" s="432"/>
      <c r="K91" s="437"/>
      <c r="L91" s="842"/>
    </row>
    <row r="92" spans="1:17">
      <c r="B92" s="421"/>
      <c r="C92" s="434"/>
      <c r="D92" s="415"/>
      <c r="E92" s="415"/>
      <c r="F92" s="415"/>
      <c r="G92" s="435"/>
      <c r="H92" s="272"/>
      <c r="I92" s="436"/>
      <c r="J92" s="432"/>
      <c r="K92" s="437"/>
      <c r="L92" s="842"/>
    </row>
    <row r="93" spans="1:17">
      <c r="B93" s="421"/>
      <c r="C93" s="434"/>
      <c r="D93" s="415"/>
      <c r="E93" s="415"/>
      <c r="F93" s="415"/>
      <c r="G93" s="435"/>
      <c r="H93" s="272"/>
      <c r="I93" s="436"/>
      <c r="J93" s="432"/>
      <c r="K93" s="437"/>
      <c r="L93" s="841"/>
    </row>
    <row r="94" spans="1:17">
      <c r="B94" s="421"/>
      <c r="C94" s="434"/>
      <c r="D94" s="415"/>
      <c r="E94" s="415"/>
      <c r="F94" s="415"/>
      <c r="G94" s="435"/>
      <c r="H94" s="272"/>
      <c r="I94" s="436"/>
      <c r="J94" s="432"/>
      <c r="K94" s="437"/>
      <c r="L94" s="841"/>
    </row>
    <row r="95" spans="1:17">
      <c r="B95" s="421"/>
      <c r="C95" s="434"/>
      <c r="G95" s="435"/>
      <c r="I95" s="444"/>
      <c r="J95" s="432"/>
      <c r="K95" s="437"/>
      <c r="L95" s="841"/>
    </row>
    <row r="96" spans="1:17">
      <c r="B96" s="421"/>
      <c r="C96" s="434" t="s">
        <v>652</v>
      </c>
      <c r="G96" s="884"/>
      <c r="I96" s="829"/>
      <c r="J96" s="439" t="s">
        <v>500</v>
      </c>
      <c r="K96" s="440">
        <f>SUM(K89:K93)</f>
        <v>0</v>
      </c>
      <c r="L96" s="843"/>
    </row>
    <row r="97" spans="2:12">
      <c r="B97" s="428" t="s">
        <v>404</v>
      </c>
      <c r="C97" s="429" t="s">
        <v>62</v>
      </c>
      <c r="D97" s="816"/>
      <c r="E97" s="816"/>
      <c r="F97" s="816"/>
      <c r="G97" s="435"/>
      <c r="I97" s="444"/>
      <c r="J97" s="432"/>
      <c r="K97" s="437"/>
      <c r="L97" s="841"/>
    </row>
    <row r="98" spans="2:12">
      <c r="B98" s="421">
        <v>1</v>
      </c>
      <c r="C98" s="434"/>
      <c r="D98" s="415"/>
      <c r="E98" s="415"/>
      <c r="F98" s="415"/>
      <c r="G98" s="435"/>
      <c r="H98" s="272"/>
      <c r="I98" s="436">
        <v>0</v>
      </c>
      <c r="J98" s="432">
        <v>0</v>
      </c>
      <c r="K98" s="437">
        <f>I98*J98</f>
        <v>0</v>
      </c>
      <c r="L98" s="842"/>
    </row>
    <row r="99" spans="2:12">
      <c r="B99" s="421">
        <f>B98+1</f>
        <v>2</v>
      </c>
      <c r="C99" s="434"/>
      <c r="D99" s="415"/>
      <c r="E99" s="415"/>
      <c r="F99" s="415"/>
      <c r="G99" s="435"/>
      <c r="H99" s="272"/>
      <c r="I99" s="436">
        <v>0</v>
      </c>
      <c r="J99" s="432">
        <v>0</v>
      </c>
      <c r="K99" s="437">
        <f>I99*J99</f>
        <v>0</v>
      </c>
      <c r="L99" s="842"/>
    </row>
    <row r="100" spans="2:12">
      <c r="B100" s="421">
        <f t="shared" ref="B100:B102" si="10">B99+1</f>
        <v>3</v>
      </c>
      <c r="C100" s="434"/>
      <c r="D100" s="415"/>
      <c r="E100" s="415"/>
      <c r="F100" s="415"/>
      <c r="G100" s="435"/>
      <c r="H100" s="272"/>
      <c r="I100" s="436">
        <v>0</v>
      </c>
      <c r="J100" s="432">
        <v>0</v>
      </c>
      <c r="K100" s="437">
        <f>I100*J100</f>
        <v>0</v>
      </c>
      <c r="L100" s="842"/>
    </row>
    <row r="101" spans="2:12">
      <c r="B101" s="421">
        <f t="shared" si="10"/>
        <v>4</v>
      </c>
      <c r="C101" s="434"/>
      <c r="D101" s="415"/>
      <c r="E101" s="415"/>
      <c r="F101" s="415"/>
      <c r="G101" s="435"/>
      <c r="H101" s="272"/>
      <c r="I101" s="436">
        <v>0</v>
      </c>
      <c r="J101" s="432">
        <v>0</v>
      </c>
      <c r="K101" s="437">
        <f>I101*J101</f>
        <v>0</v>
      </c>
      <c r="L101" s="842"/>
    </row>
    <row r="102" spans="2:12">
      <c r="B102" s="421">
        <f t="shared" si="10"/>
        <v>5</v>
      </c>
      <c r="C102" s="434"/>
      <c r="D102" s="415"/>
      <c r="E102" s="415"/>
      <c r="F102" s="415"/>
      <c r="G102" s="435"/>
      <c r="H102" s="272"/>
      <c r="I102" s="436">
        <v>0</v>
      </c>
      <c r="J102" s="432">
        <v>0</v>
      </c>
      <c r="K102" s="437">
        <f>I102*J102</f>
        <v>0</v>
      </c>
      <c r="L102" s="842"/>
    </row>
    <row r="103" spans="2:12">
      <c r="B103" s="421"/>
      <c r="C103" s="434"/>
      <c r="G103" s="435"/>
      <c r="I103" s="436"/>
      <c r="J103" s="432"/>
      <c r="K103" s="437"/>
      <c r="L103" s="842"/>
    </row>
    <row r="104" spans="2:12">
      <c r="B104" s="421"/>
      <c r="C104" s="434"/>
      <c r="G104" s="884"/>
      <c r="I104" s="436"/>
      <c r="J104" s="439" t="s">
        <v>501</v>
      </c>
      <c r="K104" s="440">
        <f>SUM(K98:K102)</f>
        <v>0</v>
      </c>
      <c r="L104" s="843"/>
    </row>
    <row r="105" spans="2:12">
      <c r="B105" s="421"/>
      <c r="C105" s="434"/>
      <c r="G105" s="884"/>
      <c r="I105" s="436"/>
      <c r="J105" s="432"/>
      <c r="K105" s="440"/>
      <c r="L105" s="843"/>
    </row>
    <row r="106" spans="2:12" ht="16.5" thickBot="1">
      <c r="B106" s="459"/>
      <c r="C106" s="460"/>
      <c r="D106" s="461"/>
      <c r="E106" s="461"/>
      <c r="F106" s="461"/>
      <c r="G106" s="886"/>
      <c r="H106" s="463"/>
      <c r="I106" s="464"/>
      <c r="J106" s="465"/>
      <c r="K106" s="466"/>
      <c r="L106" s="843"/>
    </row>
    <row r="107" spans="2:12">
      <c r="B107" s="421"/>
      <c r="G107" s="851"/>
      <c r="I107" s="968"/>
      <c r="J107" s="974"/>
      <c r="K107" s="440"/>
      <c r="L107" s="843"/>
    </row>
    <row r="108" spans="2:12">
      <c r="B108" s="421"/>
      <c r="G108" s="815"/>
      <c r="I108" s="968"/>
      <c r="J108" s="418" t="s">
        <v>410</v>
      </c>
      <c r="K108" s="467">
        <f>SUM(K12:K104)/2</f>
        <v>0</v>
      </c>
      <c r="L108" s="848"/>
    </row>
    <row r="109" spans="2:12" ht="16.5" thickBot="1">
      <c r="B109" s="468"/>
      <c r="C109" s="470"/>
      <c r="D109" s="470"/>
      <c r="E109" s="470"/>
      <c r="F109" s="470"/>
      <c r="G109" s="470"/>
      <c r="H109" s="472"/>
      <c r="I109" s="969"/>
      <c r="J109" s="971"/>
      <c r="K109" s="475"/>
      <c r="L109" s="841"/>
    </row>
    <row r="110" spans="2:12" ht="16.5" thickTop="1">
      <c r="I110" s="476"/>
      <c r="J110" s="477"/>
      <c r="K110" s="479"/>
      <c r="L110" s="841"/>
    </row>
    <row r="111" spans="2:12">
      <c r="I111" s="476"/>
      <c r="J111" s="477"/>
      <c r="K111" s="478"/>
      <c r="L111" s="841"/>
    </row>
    <row r="112" spans="2:12">
      <c r="I112" s="476"/>
      <c r="J112" s="477"/>
      <c r="K112" s="479"/>
      <c r="L112" s="841"/>
    </row>
    <row r="113" spans="8:12">
      <c r="I113" s="476"/>
      <c r="J113" s="477"/>
      <c r="K113" s="478"/>
      <c r="L113" s="841"/>
    </row>
    <row r="114" spans="8:12">
      <c r="I114" s="476"/>
      <c r="J114" s="477"/>
      <c r="K114" s="479"/>
      <c r="L114" s="841"/>
    </row>
    <row r="115" spans="8:12">
      <c r="I115" s="476"/>
      <c r="J115" s="477"/>
      <c r="K115" s="479"/>
      <c r="L115" s="841"/>
    </row>
    <row r="116" spans="8:12">
      <c r="I116" s="476"/>
      <c r="J116" s="477"/>
      <c r="K116" s="479"/>
      <c r="L116" s="841"/>
    </row>
    <row r="117" spans="8:12">
      <c r="I117" s="476"/>
      <c r="J117" s="477"/>
      <c r="K117" s="479"/>
      <c r="L117" s="841"/>
    </row>
    <row r="118" spans="8:12">
      <c r="I118" s="476"/>
      <c r="J118" s="477"/>
      <c r="K118" s="479"/>
      <c r="L118" s="841"/>
    </row>
    <row r="119" spans="8:12">
      <c r="I119" s="476"/>
      <c r="J119" s="477"/>
      <c r="K119" s="479"/>
      <c r="L119" s="841"/>
    </row>
    <row r="120" spans="8:12">
      <c r="I120" s="476"/>
      <c r="J120" s="477"/>
      <c r="K120" s="479"/>
      <c r="L120" s="841"/>
    </row>
    <row r="121" spans="8:12">
      <c r="I121" s="476"/>
      <c r="J121" s="477"/>
      <c r="K121" s="479"/>
      <c r="L121" s="841"/>
    </row>
    <row r="122" spans="8:12">
      <c r="I122" s="476"/>
      <c r="J122" s="477"/>
      <c r="K122" s="479"/>
      <c r="L122" s="841"/>
    </row>
    <row r="124" spans="8:12">
      <c r="H124" s="851"/>
      <c r="K124" s="480"/>
    </row>
    <row r="125" spans="8:12">
      <c r="H125" s="851"/>
      <c r="K125" s="818"/>
    </row>
    <row r="126" spans="8:12">
      <c r="K126" s="481"/>
    </row>
    <row r="127" spans="8:12">
      <c r="H127" s="851"/>
    </row>
    <row r="132" spans="8:8">
      <c r="H132" s="853"/>
    </row>
  </sheetData>
  <mergeCells count="2">
    <mergeCell ref="I8:K8"/>
    <mergeCell ref="L6:L7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E56779-09E0-4700-8214-C60D58EAB310}">
  <sheetPr>
    <tabColor rgb="FFFFFF00"/>
    <pageSetUpPr fitToPage="1"/>
  </sheetPr>
  <dimension ref="A2:L34"/>
  <sheetViews>
    <sheetView topLeftCell="A7" workbookViewId="0">
      <selection activeCell="I28" sqref="I28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819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818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Posko ATV dan Bengkel Komodo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">
        <v>340</v>
      </c>
      <c r="D14" s="58"/>
      <c r="E14" s="58"/>
      <c r="F14" s="58"/>
      <c r="G14" s="58"/>
      <c r="H14" s="483">
        <f>BQKomodo!K19</f>
        <v>5000000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">
        <v>191</v>
      </c>
      <c r="D15" s="58"/>
      <c r="E15" s="58"/>
      <c r="F15" s="58"/>
      <c r="G15" s="58"/>
      <c r="H15" s="483">
        <f>BQKomodo!K28</f>
        <v>15500000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">
        <v>355</v>
      </c>
      <c r="D16" s="58"/>
      <c r="E16" s="58"/>
      <c r="F16" s="58"/>
      <c r="G16" s="58"/>
      <c r="H16" s="483">
        <f>BQKomodo!K39</f>
        <v>20400000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">
        <v>360</v>
      </c>
      <c r="D17" s="58"/>
      <c r="E17" s="58"/>
      <c r="F17" s="58"/>
      <c r="G17" s="58"/>
      <c r="H17" s="483">
        <f>BQKomodo!K48</f>
        <v>27000000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">
        <v>363</v>
      </c>
      <c r="D18" s="58"/>
      <c r="E18" s="58"/>
      <c r="F18" s="58"/>
      <c r="G18" s="58"/>
      <c r="H18" s="483">
        <f>BQKomodo!K57</f>
        <v>17700000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">
        <v>288</v>
      </c>
      <c r="D19" s="58"/>
      <c r="E19" s="58"/>
      <c r="F19" s="58"/>
      <c r="G19" s="58"/>
      <c r="H19" s="483">
        <f>BQKomodo!K69</f>
        <v>3500000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tr">
        <f>BQKomodo!C70</f>
        <v>-</v>
      </c>
      <c r="D20" s="58"/>
      <c r="E20" s="58"/>
      <c r="F20" s="58"/>
      <c r="G20" s="58"/>
      <c r="H20" s="483">
        <f>BQKomodo!K78</f>
        <v>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tr">
        <f>BQKomodo!C79</f>
        <v>-</v>
      </c>
      <c r="D21" s="58"/>
      <c r="E21" s="58"/>
      <c r="F21" s="58"/>
      <c r="G21" s="58"/>
      <c r="H21" s="483">
        <f>BQKomodo!K91</f>
        <v>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">
        <v>385</v>
      </c>
      <c r="D22" s="58"/>
      <c r="E22" s="58"/>
      <c r="F22" s="58"/>
      <c r="G22" s="58"/>
      <c r="H22" s="483">
        <f>BQKomodo!K95</f>
        <v>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">
        <v>390</v>
      </c>
      <c r="D23" s="58"/>
      <c r="E23" s="58"/>
      <c r="F23" s="58"/>
      <c r="G23" s="58"/>
      <c r="H23" s="483">
        <f>BQKomodo!K101</f>
        <v>0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">
        <v>396</v>
      </c>
      <c r="D24" s="58"/>
      <c r="E24" s="58"/>
      <c r="F24" s="58"/>
      <c r="G24" s="58"/>
      <c r="H24" s="483">
        <f>BQKomodo!K110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">
        <v>405</v>
      </c>
      <c r="D25" s="58"/>
      <c r="E25" s="58"/>
      <c r="F25" s="58"/>
      <c r="G25" s="58"/>
      <c r="H25" s="483">
        <f>BQKomodo!K118</f>
        <v>0</v>
      </c>
      <c r="I25" s="39"/>
      <c r="J25" s="39"/>
      <c r="K25" s="39"/>
      <c r="L25" s="39"/>
    </row>
    <row r="26" spans="1:12" s="60" customFormat="1">
      <c r="A26" s="39"/>
      <c r="B26" s="55"/>
      <c r="C26" s="56"/>
      <c r="D26" s="58"/>
      <c r="E26" s="58"/>
      <c r="F26" s="58"/>
      <c r="G26" s="58"/>
      <c r="H26" s="483"/>
      <c r="I26" s="39"/>
      <c r="J26" s="39"/>
      <c r="K26" s="39"/>
      <c r="L26" s="39"/>
    </row>
    <row r="27" spans="1:12" ht="16.5" thickBot="1">
      <c r="B27" s="69"/>
      <c r="C27" s="70"/>
      <c r="D27" s="70"/>
      <c r="E27" s="70"/>
      <c r="F27" s="70"/>
      <c r="G27" s="70"/>
      <c r="H27" s="484"/>
    </row>
    <row r="28" spans="1:12" ht="17.25" thickTop="1" thickBot="1">
      <c r="B28" s="72"/>
      <c r="C28" s="73"/>
      <c r="D28" s="73"/>
      <c r="E28" s="73"/>
      <c r="F28" s="74" t="s">
        <v>41</v>
      </c>
      <c r="G28" s="74"/>
      <c r="H28" s="75">
        <f>SUM(H14:H27)</f>
        <v>89100000</v>
      </c>
    </row>
    <row r="29" spans="1:12" ht="16.5" thickTop="1">
      <c r="B29" s="76"/>
      <c r="C29" s="77"/>
      <c r="D29" s="77"/>
      <c r="E29" s="77"/>
      <c r="F29" s="77"/>
      <c r="G29" s="77"/>
      <c r="H29" s="78"/>
    </row>
    <row r="30" spans="1:12">
      <c r="B30" s="79"/>
      <c r="C30" s="56"/>
      <c r="D30" s="56"/>
      <c r="E30" s="58"/>
      <c r="F30" s="40"/>
      <c r="G30" s="43"/>
      <c r="H30" s="715"/>
    </row>
    <row r="31" spans="1:12">
      <c r="B31" s="81"/>
      <c r="C31" s="41"/>
      <c r="E31" s="44"/>
      <c r="H31" s="82"/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0E8E41-E25D-4614-A3C0-4099A6637544}">
  <dimension ref="A1:V146"/>
  <sheetViews>
    <sheetView tabSelected="1" topLeftCell="A46" zoomScaleNormal="100" workbookViewId="0">
      <selection activeCell="H59" sqref="H59:H60"/>
    </sheetView>
  </sheetViews>
  <sheetFormatPr defaultColWidth="9.140625" defaultRowHeight="15.75"/>
  <cols>
    <col min="1" max="1" width="9.140625" style="814"/>
    <col min="2" max="2" width="6.42578125" style="814" customWidth="1"/>
    <col min="3" max="3" width="16.5703125" style="814" customWidth="1"/>
    <col min="4" max="7" width="10.7109375" style="814" customWidth="1"/>
    <col min="8" max="8" width="7.42578125" style="815" bestFit="1" customWidth="1"/>
    <col min="9" max="9" width="10.7109375" style="814" customWidth="1"/>
    <col min="10" max="10" width="12.42578125" style="416" customWidth="1"/>
    <col min="11" max="11" width="15.5703125" style="814" customWidth="1"/>
    <col min="12" max="14" width="9.140625" style="814"/>
    <col min="15" max="15" width="14.140625" style="814" customWidth="1"/>
    <col min="16" max="16" width="11" style="814" bestFit="1" customWidth="1"/>
    <col min="17" max="20" width="9.140625" style="814"/>
    <col min="21" max="21" width="12" style="814" customWidth="1"/>
    <col min="22" max="22" width="14" style="814" customWidth="1"/>
    <col min="23" max="16384" width="9.140625" style="814"/>
  </cols>
  <sheetData>
    <row r="1" spans="2:11">
      <c r="B1" s="35"/>
      <c r="C1" s="35"/>
      <c r="D1" s="35"/>
      <c r="E1" s="35"/>
      <c r="F1" s="35"/>
      <c r="G1" s="35"/>
      <c r="H1" s="35"/>
      <c r="I1" s="35"/>
      <c r="J1" s="35"/>
      <c r="K1" s="839"/>
    </row>
    <row r="2" spans="2:11">
      <c r="B2" s="4" t="s">
        <v>0</v>
      </c>
      <c r="C2" s="2"/>
      <c r="D2" s="1"/>
      <c r="E2" s="5"/>
      <c r="F2" s="6"/>
      <c r="G2" s="1"/>
      <c r="H2" s="1"/>
      <c r="I2" s="39"/>
      <c r="J2" s="3"/>
      <c r="K2" s="3"/>
    </row>
    <row r="3" spans="2:11">
      <c r="B3" s="420" t="s">
        <v>817</v>
      </c>
      <c r="C3" s="2"/>
      <c r="D3" s="1"/>
      <c r="E3" s="5"/>
      <c r="F3" s="6"/>
      <c r="G3" s="1"/>
      <c r="H3" s="1"/>
      <c r="I3" s="39"/>
      <c r="J3" s="3"/>
      <c r="K3" s="3"/>
    </row>
    <row r="4" spans="2:11">
      <c r="B4" s="7" t="s">
        <v>1</v>
      </c>
      <c r="C4" s="2"/>
      <c r="D4" s="1"/>
      <c r="E4" s="5"/>
      <c r="F4" s="6"/>
      <c r="G4" s="1"/>
      <c r="H4" s="1"/>
      <c r="I4" s="39"/>
      <c r="J4" s="3"/>
      <c r="K4" s="3"/>
    </row>
    <row r="5" spans="2:11">
      <c r="B5" s="4" t="s">
        <v>2</v>
      </c>
      <c r="C5" s="2"/>
      <c r="D5" s="1"/>
      <c r="E5" s="5"/>
      <c r="F5" s="6"/>
      <c r="G5" s="1"/>
      <c r="H5" s="1"/>
      <c r="I5" s="39"/>
      <c r="J5" s="3"/>
      <c r="K5" s="3"/>
    </row>
    <row r="6" spans="2:11">
      <c r="B6" s="7" t="s">
        <v>3</v>
      </c>
      <c r="C6" s="2"/>
      <c r="D6" s="1"/>
      <c r="E6" s="5"/>
      <c r="F6" s="6"/>
      <c r="G6" s="1"/>
      <c r="H6" s="1"/>
      <c r="I6" s="39"/>
      <c r="J6" s="3"/>
      <c r="K6" s="3"/>
    </row>
    <row r="7" spans="2:11" ht="16.5" thickBot="1">
      <c r="B7" s="1"/>
      <c r="C7" s="1"/>
      <c r="D7" s="1"/>
      <c r="E7" s="1"/>
      <c r="F7" s="1"/>
      <c r="G7" s="1"/>
      <c r="H7" s="1"/>
      <c r="I7" s="1136" t="str">
        <f>'12SumKomodo'!F8</f>
        <v>No. 012/RAB-Blok A-SSBP/I/2021</v>
      </c>
      <c r="J7" s="1136"/>
      <c r="K7" s="1136"/>
    </row>
    <row r="8" spans="2:11" ht="16.5" thickTop="1">
      <c r="B8" s="8"/>
      <c r="C8" s="9"/>
      <c r="D8" s="9"/>
      <c r="E8" s="9"/>
      <c r="F8" s="9"/>
      <c r="G8" s="9"/>
      <c r="H8" s="10"/>
      <c r="I8" s="836"/>
      <c r="J8" s="12" t="s">
        <v>4</v>
      </c>
      <c r="K8" s="620" t="s">
        <v>5</v>
      </c>
    </row>
    <row r="9" spans="2:11" ht="15.6" customHeight="1">
      <c r="B9" s="14" t="s">
        <v>6</v>
      </c>
      <c r="C9" s="854" t="s">
        <v>7</v>
      </c>
      <c r="D9" s="854"/>
      <c r="E9" s="854"/>
      <c r="F9" s="854"/>
      <c r="G9" s="854"/>
      <c r="H9" s="16" t="s">
        <v>8</v>
      </c>
      <c r="I9" s="837" t="s">
        <v>9</v>
      </c>
      <c r="J9" s="18" t="s">
        <v>8</v>
      </c>
      <c r="K9" s="621" t="s">
        <v>4</v>
      </c>
    </row>
    <row r="10" spans="2:11" ht="16.5" thickBot="1">
      <c r="B10" s="20"/>
      <c r="C10" s="21"/>
      <c r="D10" s="21"/>
      <c r="E10" s="21"/>
      <c r="F10" s="21"/>
      <c r="G10" s="21"/>
      <c r="H10" s="22"/>
      <c r="I10" s="838"/>
      <c r="J10" s="24" t="s">
        <v>10</v>
      </c>
      <c r="K10" s="622" t="s">
        <v>10</v>
      </c>
    </row>
    <row r="11" spans="2:11" ht="16.5" thickTop="1">
      <c r="B11" s="421"/>
      <c r="C11" s="422"/>
      <c r="D11" s="423"/>
      <c r="E11" s="423"/>
      <c r="F11" s="423"/>
      <c r="G11" s="424"/>
      <c r="I11" s="425"/>
      <c r="J11" s="426"/>
      <c r="K11" s="427"/>
    </row>
    <row r="12" spans="2:11">
      <c r="B12" s="428" t="s">
        <v>339</v>
      </c>
      <c r="C12" s="429" t="s">
        <v>340</v>
      </c>
      <c r="D12" s="816"/>
      <c r="E12" s="816"/>
      <c r="F12" s="816"/>
      <c r="G12" s="430"/>
      <c r="I12" s="431"/>
      <c r="J12" s="432"/>
      <c r="K12" s="433"/>
    </row>
    <row r="13" spans="2:11">
      <c r="B13" s="421">
        <v>1</v>
      </c>
      <c r="C13" s="434" t="str">
        <f>[80]Sheet1!$B$3</f>
        <v xml:space="preserve">Pembersihan awal dan Selama Proyek Berjalan </v>
      </c>
      <c r="G13" s="435"/>
      <c r="H13" s="272" t="s">
        <v>357</v>
      </c>
      <c r="I13" s="436">
        <v>1</v>
      </c>
      <c r="J13" s="432">
        <f>[80]Sheet1!$D$3</f>
        <v>1000000</v>
      </c>
      <c r="K13" s="437">
        <f>I13*J13</f>
        <v>1000000</v>
      </c>
    </row>
    <row r="14" spans="2:11">
      <c r="B14" s="421">
        <f>B13+1</f>
        <v>2</v>
      </c>
      <c r="C14" s="434" t="str">
        <f>[80]Sheet1!$B$4</f>
        <v>Pembersihan akhir sampah dll</v>
      </c>
      <c r="G14" s="435"/>
      <c r="H14" s="272" t="s">
        <v>357</v>
      </c>
      <c r="I14" s="436">
        <v>1</v>
      </c>
      <c r="J14" s="432">
        <f>[80]Sheet1!$D$4</f>
        <v>1000000</v>
      </c>
      <c r="K14" s="437">
        <f>I14*J14</f>
        <v>1000000</v>
      </c>
    </row>
    <row r="15" spans="2:11">
      <c r="B15" s="421">
        <f>B14+1</f>
        <v>3</v>
      </c>
      <c r="C15" s="434" t="str">
        <f>[80]Sheet1!$B$5</f>
        <v>Survey</v>
      </c>
      <c r="G15" s="435"/>
      <c r="H15" s="272" t="s">
        <v>357</v>
      </c>
      <c r="I15" s="436">
        <v>1</v>
      </c>
      <c r="J15" s="432">
        <f>[80]Sheet1!$D$5</f>
        <v>2000000</v>
      </c>
      <c r="K15" s="437">
        <f>I15*J15</f>
        <v>2000000</v>
      </c>
    </row>
    <row r="16" spans="2:11">
      <c r="B16" s="421">
        <f>B15+1</f>
        <v>4</v>
      </c>
      <c r="C16" s="434" t="str">
        <f>[80]Sheet1!$B$6</f>
        <v>Pembuatan gambar teknis</v>
      </c>
      <c r="G16" s="435"/>
      <c r="H16" s="272" t="s">
        <v>357</v>
      </c>
      <c r="I16" s="436">
        <v>1</v>
      </c>
      <c r="J16" s="432">
        <f>[80]Sheet1!$D$6</f>
        <v>1000000</v>
      </c>
      <c r="K16" s="437">
        <f>I16*J16</f>
        <v>1000000</v>
      </c>
    </row>
    <row r="17" spans="1:11">
      <c r="B17" s="421"/>
      <c r="C17" s="434"/>
      <c r="G17" s="435"/>
      <c r="I17" s="436">
        <v>0</v>
      </c>
      <c r="J17" s="432">
        <v>0</v>
      </c>
      <c r="K17" s="437">
        <f>I17*J17</f>
        <v>0</v>
      </c>
    </row>
    <row r="18" spans="1:11">
      <c r="B18" s="438"/>
      <c r="C18" s="434"/>
      <c r="G18" s="435"/>
      <c r="I18" s="436"/>
      <c r="J18" s="432"/>
      <c r="K18" s="437"/>
    </row>
    <row r="19" spans="1:11">
      <c r="B19" s="421"/>
      <c r="C19" s="434"/>
      <c r="G19" s="435"/>
      <c r="I19" s="436"/>
      <c r="J19" s="439" t="s">
        <v>348</v>
      </c>
      <c r="K19" s="440">
        <f>SUM(K13:K17)</f>
        <v>5000000</v>
      </c>
    </row>
    <row r="20" spans="1:11">
      <c r="B20" s="428" t="s">
        <v>349</v>
      </c>
      <c r="C20" s="429" t="s">
        <v>1005</v>
      </c>
      <c r="D20" s="816"/>
      <c r="E20" s="816"/>
      <c r="F20" s="816"/>
      <c r="G20" s="430"/>
      <c r="I20" s="436"/>
      <c r="J20" s="432"/>
      <c r="K20" s="437"/>
    </row>
    <row r="21" spans="1:11">
      <c r="B21" s="421">
        <v>1</v>
      </c>
      <c r="C21" s="434" t="str">
        <f>[80]Sheet1!$B$8</f>
        <v> Kabel UTP</v>
      </c>
      <c r="G21" s="435"/>
      <c r="H21" s="272" t="s">
        <v>1006</v>
      </c>
      <c r="I21" s="436">
        <v>1</v>
      </c>
      <c r="J21" s="432">
        <f>[80]Sheet1!$D$8</f>
        <v>2000000</v>
      </c>
      <c r="K21" s="437">
        <f t="shared" ref="K21:K26" si="0">I21*J21</f>
        <v>2000000</v>
      </c>
    </row>
    <row r="22" spans="1:11">
      <c r="B22" s="421">
        <f>B21+1</f>
        <v>2</v>
      </c>
      <c r="C22" s="434" t="str">
        <f>[80]Sheet1!$B$9</f>
        <v>Konektor RJ-45</v>
      </c>
      <c r="G22" s="435"/>
      <c r="H22" s="272" t="s">
        <v>1013</v>
      </c>
      <c r="I22" s="436">
        <v>1</v>
      </c>
      <c r="J22" s="432">
        <f>[80]Sheet1!$D$9</f>
        <v>1500000</v>
      </c>
      <c r="K22" s="437">
        <f t="shared" si="0"/>
        <v>1500000</v>
      </c>
    </row>
    <row r="23" spans="1:11">
      <c r="B23" s="421">
        <f>B22+1</f>
        <v>3</v>
      </c>
      <c r="C23" s="434" t="str">
        <f>[80]Sheet1!$B$10</f>
        <v>Kartu Jaringan (LAN Card)</v>
      </c>
      <c r="G23" s="435"/>
      <c r="H23" s="272" t="s">
        <v>392</v>
      </c>
      <c r="I23" s="436">
        <v>1</v>
      </c>
      <c r="J23" s="432">
        <f>[80]Sheet1!$D$10</f>
        <v>1500000</v>
      </c>
      <c r="K23" s="437">
        <f t="shared" si="0"/>
        <v>1500000</v>
      </c>
    </row>
    <row r="24" spans="1:11">
      <c r="B24" s="421">
        <f>B23+1</f>
        <v>4</v>
      </c>
      <c r="C24" s="434" t="str">
        <f>[80]Sheet1!$B$11</f>
        <v>Switch / Hub Managable</v>
      </c>
      <c r="G24" s="435"/>
      <c r="H24" s="272" t="s">
        <v>392</v>
      </c>
      <c r="I24" s="436">
        <v>1</v>
      </c>
      <c r="J24" s="432">
        <f>[80]Sheet1!$D$11</f>
        <v>10000000</v>
      </c>
      <c r="K24" s="437">
        <f t="shared" si="0"/>
        <v>10000000</v>
      </c>
    </row>
    <row r="25" spans="1:11">
      <c r="B25" s="421">
        <f>B24+1</f>
        <v>5</v>
      </c>
      <c r="C25" s="434" t="str">
        <f>[80]Sheet1!$B$12</f>
        <v>Alat dukung</v>
      </c>
      <c r="G25" s="435"/>
      <c r="H25" s="272" t="s">
        <v>392</v>
      </c>
      <c r="I25" s="436">
        <v>1</v>
      </c>
      <c r="J25" s="432">
        <f>[80]Sheet1!$D$12</f>
        <v>500000</v>
      </c>
      <c r="K25" s="437">
        <f t="shared" si="0"/>
        <v>500000</v>
      </c>
    </row>
    <row r="26" spans="1:11">
      <c r="B26" s="421"/>
      <c r="C26" s="434"/>
      <c r="G26" s="435"/>
      <c r="I26" s="436">
        <v>0</v>
      </c>
      <c r="J26" s="432">
        <v>0</v>
      </c>
      <c r="K26" s="437">
        <f t="shared" si="0"/>
        <v>0</v>
      </c>
    </row>
    <row r="27" spans="1:11">
      <c r="B27" s="421"/>
      <c r="C27" s="434"/>
      <c r="G27" s="435"/>
      <c r="I27" s="436"/>
      <c r="J27" s="432"/>
      <c r="K27" s="437"/>
    </row>
    <row r="28" spans="1:11">
      <c r="B28" s="421"/>
      <c r="C28" s="434"/>
      <c r="G28" s="435"/>
      <c r="I28" s="436"/>
      <c r="J28" s="439" t="s">
        <v>353</v>
      </c>
      <c r="K28" s="440">
        <f>SUM(K21:K25)</f>
        <v>15500000</v>
      </c>
    </row>
    <row r="29" spans="1:11">
      <c r="B29" s="428" t="s">
        <v>354</v>
      </c>
      <c r="C29" s="429" t="s">
        <v>1012</v>
      </c>
      <c r="D29" s="816"/>
      <c r="E29" s="816"/>
      <c r="F29" s="816"/>
      <c r="G29" s="430"/>
      <c r="I29" s="436"/>
      <c r="J29" s="432"/>
      <c r="K29" s="437"/>
    </row>
    <row r="30" spans="1:11">
      <c r="A30" s="852" t="s">
        <v>796</v>
      </c>
      <c r="B30" s="421">
        <v>1</v>
      </c>
      <c r="C30" s="434" t="str">
        <f>[80]Sheet1!$B$14</f>
        <v>Cctv indoor</v>
      </c>
      <c r="G30" s="435"/>
      <c r="H30" s="272" t="s">
        <v>392</v>
      </c>
      <c r="I30" s="436">
        <v>1</v>
      </c>
      <c r="J30" s="432">
        <f>[80]Sheet1!$D$14</f>
        <v>3500000</v>
      </c>
      <c r="K30" s="437">
        <f>I30*J30</f>
        <v>3500000</v>
      </c>
    </row>
    <row r="31" spans="1:11">
      <c r="B31" s="421">
        <f>B30+1</f>
        <v>2</v>
      </c>
      <c r="C31" s="434" t="str">
        <f>[80]Sheet1!$B$15</f>
        <v>Cctv outdoor</v>
      </c>
      <c r="G31" s="435"/>
      <c r="H31" s="272" t="s">
        <v>392</v>
      </c>
      <c r="I31" s="436">
        <v>1</v>
      </c>
      <c r="J31" s="432">
        <f>[80]Sheet1!$D$15</f>
        <v>3500000</v>
      </c>
      <c r="K31" s="437">
        <f>I31*J31</f>
        <v>3500000</v>
      </c>
    </row>
    <row r="32" spans="1:11">
      <c r="B32" s="421">
        <f>B31+1</f>
        <v>3</v>
      </c>
      <c r="C32" s="434" t="str">
        <f>[80]Sheet1!$B$16</f>
        <v>DVR</v>
      </c>
      <c r="G32" s="435"/>
      <c r="H32" s="272" t="s">
        <v>392</v>
      </c>
      <c r="I32" s="436">
        <v>1</v>
      </c>
      <c r="J32" s="432">
        <f>[80]Sheet1!$D$16</f>
        <v>5000000</v>
      </c>
      <c r="K32" s="437">
        <f>I32*J32</f>
        <v>5000000</v>
      </c>
    </row>
    <row r="33" spans="2:11">
      <c r="B33" s="421">
        <v>4</v>
      </c>
      <c r="C33" s="434" t="str">
        <f>[80]Sheet1!$B$17</f>
        <v>Adapter dan Power Supply.</v>
      </c>
      <c r="G33" s="435"/>
      <c r="H33" s="272" t="s">
        <v>392</v>
      </c>
      <c r="I33" s="436">
        <v>1</v>
      </c>
      <c r="J33" s="432">
        <f>[80]Sheet1!$D$17</f>
        <v>900000</v>
      </c>
      <c r="K33" s="437">
        <f>I33*J33</f>
        <v>900000</v>
      </c>
    </row>
    <row r="34" spans="2:11">
      <c r="B34" s="421">
        <v>5</v>
      </c>
      <c r="C34" s="434" t="str">
        <f>[80]Sheet1!$B$18</f>
        <v>Kabel Power.</v>
      </c>
      <c r="G34" s="435"/>
      <c r="H34" s="272" t="s">
        <v>1006</v>
      </c>
      <c r="I34" s="436">
        <v>1</v>
      </c>
      <c r="J34" s="432">
        <f>[80]Sheet1!$D$18</f>
        <v>1000000</v>
      </c>
      <c r="K34" s="437">
        <f t="shared" ref="K34:K37" si="1">I34*J34</f>
        <v>1000000</v>
      </c>
    </row>
    <row r="35" spans="2:11">
      <c r="B35" s="421">
        <v>6</v>
      </c>
      <c r="C35" s="434" t="str">
        <f>[80]Sheet1!$B$19</f>
        <v>Crimp Kabel.</v>
      </c>
      <c r="G35" s="435"/>
      <c r="H35" s="272" t="s">
        <v>392</v>
      </c>
      <c r="I35" s="436">
        <v>1</v>
      </c>
      <c r="J35" s="432">
        <f>[80]Sheet1!$D$19</f>
        <v>2000000</v>
      </c>
      <c r="K35" s="437">
        <f t="shared" si="1"/>
        <v>2000000</v>
      </c>
    </row>
    <row r="36" spans="2:11">
      <c r="B36" s="421">
        <v>7</v>
      </c>
      <c r="C36" s="434" t="str">
        <f>[80]Sheet1!$B$20</f>
        <v>Kabel Coaxial.</v>
      </c>
      <c r="G36" s="435"/>
      <c r="H36" s="272" t="s">
        <v>1006</v>
      </c>
      <c r="I36" s="436">
        <v>1</v>
      </c>
      <c r="J36" s="432">
        <f>[80]Sheet1!$D$20</f>
        <v>3500000</v>
      </c>
      <c r="K36" s="437">
        <f t="shared" si="1"/>
        <v>3500000</v>
      </c>
    </row>
    <row r="37" spans="2:11">
      <c r="B37" s="421">
        <v>8</v>
      </c>
      <c r="C37" s="434" t="str">
        <f>[80]Sheet1!$B$21</f>
        <v>Konektor RF.</v>
      </c>
      <c r="G37" s="435"/>
      <c r="H37" s="272" t="s">
        <v>1013</v>
      </c>
      <c r="I37" s="436">
        <v>1</v>
      </c>
      <c r="J37" s="432">
        <f>[80]Sheet1!$D$21</f>
        <v>1000000</v>
      </c>
      <c r="K37" s="437">
        <f t="shared" si="1"/>
        <v>1000000</v>
      </c>
    </row>
    <row r="38" spans="2:11">
      <c r="B38" s="421"/>
      <c r="C38" s="434"/>
      <c r="G38" s="435"/>
      <c r="I38" s="436"/>
      <c r="J38" s="432"/>
      <c r="K38" s="437"/>
    </row>
    <row r="39" spans="2:11">
      <c r="B39" s="421"/>
      <c r="C39" s="434"/>
      <c r="G39" s="435"/>
      <c r="I39" s="444"/>
      <c r="J39" s="439" t="s">
        <v>358</v>
      </c>
      <c r="K39" s="440">
        <f>SUM(K30:K37)</f>
        <v>20400000</v>
      </c>
    </row>
    <row r="40" spans="2:11">
      <c r="B40" s="428" t="s">
        <v>359</v>
      </c>
      <c r="C40" s="568" t="s">
        <v>1008</v>
      </c>
      <c r="D40" s="816"/>
      <c r="E40" s="816"/>
      <c r="F40" s="816"/>
      <c r="G40" s="430"/>
      <c r="I40" s="444"/>
      <c r="J40" s="432"/>
      <c r="K40" s="437"/>
    </row>
    <row r="41" spans="2:11">
      <c r="B41" s="421">
        <v>1</v>
      </c>
      <c r="C41" s="434" t="str">
        <f>[80]Sheet1!$B$23</f>
        <v>Acess Point</v>
      </c>
      <c r="G41" s="435"/>
      <c r="H41" s="272" t="s">
        <v>392</v>
      </c>
      <c r="I41" s="855">
        <v>1</v>
      </c>
      <c r="J41" s="446">
        <f>[80]Sheet1!$D$23</f>
        <v>8500000</v>
      </c>
      <c r="K41" s="437">
        <f>I41*J41</f>
        <v>8500000</v>
      </c>
    </row>
    <row r="42" spans="2:11">
      <c r="B42" s="421">
        <v>2</v>
      </c>
      <c r="C42" s="434" t="str">
        <f>[80]Sheet1!$B$24</f>
        <v>Antena Omni</v>
      </c>
      <c r="G42" s="435"/>
      <c r="H42" s="272" t="s">
        <v>392</v>
      </c>
      <c r="I42" s="855">
        <v>1</v>
      </c>
      <c r="J42" s="446">
        <f>[80]Sheet1!$D$24</f>
        <v>10000000</v>
      </c>
      <c r="K42" s="437">
        <f t="shared" ref="K42:K46" si="2">I42*J42</f>
        <v>10000000</v>
      </c>
    </row>
    <row r="43" spans="2:11">
      <c r="B43" s="421">
        <v>3</v>
      </c>
      <c r="C43" s="434" t="str">
        <f>[80]Sheet1!$B$25</f>
        <v>Kabel Pigtail/Kabel Jumper</v>
      </c>
      <c r="G43" s="435"/>
      <c r="H43" s="272" t="s">
        <v>1006</v>
      </c>
      <c r="I43" s="855">
        <v>1</v>
      </c>
      <c r="J43" s="446">
        <f>[80]Sheet1!$D$25</f>
        <v>500000</v>
      </c>
      <c r="K43" s="437">
        <f t="shared" si="2"/>
        <v>500000</v>
      </c>
    </row>
    <row r="44" spans="2:11">
      <c r="B44" s="421">
        <v>4</v>
      </c>
      <c r="C44" s="434" t="str">
        <f>[80]Sheet1!$B$26</f>
        <v>POE (Power Over Ethernet)</v>
      </c>
      <c r="G44" s="435"/>
      <c r="H44" s="272" t="s">
        <v>392</v>
      </c>
      <c r="I44" s="855">
        <v>1</v>
      </c>
      <c r="J44" s="446">
        <f>[80]Sheet1!$D$26</f>
        <v>2000000</v>
      </c>
      <c r="K44" s="437">
        <f t="shared" si="2"/>
        <v>2000000</v>
      </c>
    </row>
    <row r="45" spans="2:11">
      <c r="B45" s="421">
        <v>5</v>
      </c>
      <c r="C45" s="434" t="str">
        <f>[80]Sheet1!$B$27</f>
        <v>Kabel UTP/STP</v>
      </c>
      <c r="G45" s="435"/>
      <c r="H45" s="272" t="s">
        <v>1006</v>
      </c>
      <c r="I45" s="855">
        <v>1</v>
      </c>
      <c r="J45" s="446">
        <f>[80]Sheet1!$D$27</f>
        <v>3000000</v>
      </c>
      <c r="K45" s="437">
        <f t="shared" si="2"/>
        <v>3000000</v>
      </c>
    </row>
    <row r="46" spans="2:11">
      <c r="B46" s="421">
        <v>6</v>
      </c>
      <c r="C46" s="434" t="str">
        <f>[80]Sheet1!$B$28</f>
        <v>Penangkal Petir (Lightning Arrester)</v>
      </c>
      <c r="G46" s="435"/>
      <c r="H46" s="272" t="s">
        <v>392</v>
      </c>
      <c r="I46" s="855">
        <v>1</v>
      </c>
      <c r="J46" s="446">
        <f>[80]Sheet1!$D$28</f>
        <v>3000000</v>
      </c>
      <c r="K46" s="437">
        <f t="shared" si="2"/>
        <v>3000000</v>
      </c>
    </row>
    <row r="47" spans="2:11">
      <c r="B47" s="421"/>
      <c r="C47" s="434"/>
      <c r="G47" s="435"/>
      <c r="I47" s="828"/>
      <c r="J47" s="446"/>
      <c r="K47" s="437"/>
    </row>
    <row r="48" spans="2:11">
      <c r="B48" s="421"/>
      <c r="C48" s="434"/>
      <c r="G48" s="435"/>
      <c r="I48" s="444"/>
      <c r="J48" s="439" t="s">
        <v>361</v>
      </c>
      <c r="K48" s="440">
        <f>SUM(K41:K46)</f>
        <v>27000000</v>
      </c>
    </row>
    <row r="49" spans="2:15">
      <c r="B49" s="428" t="s">
        <v>362</v>
      </c>
      <c r="C49" s="429" t="s">
        <v>1010</v>
      </c>
      <c r="D49" s="816"/>
      <c r="E49" s="816"/>
      <c r="F49" s="816"/>
      <c r="G49" s="430"/>
      <c r="I49" s="444"/>
      <c r="J49" s="432"/>
      <c r="K49" s="437"/>
    </row>
    <row r="50" spans="2:15">
      <c r="B50" s="421">
        <v>1</v>
      </c>
      <c r="C50" s="434" t="str">
        <f>[80]Sheet1!$B$30</f>
        <v>Kabel Telepon outdoor</v>
      </c>
      <c r="G50" s="435"/>
      <c r="H50" s="272" t="s">
        <v>1006</v>
      </c>
      <c r="I50" s="447">
        <v>1</v>
      </c>
      <c r="J50" s="432">
        <f>[80]Sheet1!$D$30</f>
        <v>4500000</v>
      </c>
      <c r="K50" s="437">
        <f>I50*J50</f>
        <v>4500000</v>
      </c>
    </row>
    <row r="51" spans="2:15">
      <c r="B51" s="421">
        <f>B50+1</f>
        <v>2</v>
      </c>
      <c r="C51" s="434" t="str">
        <f>[80]Sheet1!$B$31</f>
        <v>Kabel Telepon Indoor</v>
      </c>
      <c r="G51" s="435"/>
      <c r="H51" s="272" t="s">
        <v>1006</v>
      </c>
      <c r="I51" s="436">
        <v>1</v>
      </c>
      <c r="J51" s="432">
        <f>[80]Sheet1!$D$31</f>
        <v>4000000</v>
      </c>
      <c r="K51" s="437">
        <f>I51*J51</f>
        <v>4000000</v>
      </c>
    </row>
    <row r="52" spans="2:15">
      <c r="B52" s="421">
        <v>3</v>
      </c>
      <c r="C52" s="434" t="str">
        <f>[80]Sheet1!$B$32</f>
        <v>Box Telepon Konektor</v>
      </c>
      <c r="G52" s="435"/>
      <c r="H52" s="272" t="s">
        <v>392</v>
      </c>
      <c r="I52" s="436">
        <v>1</v>
      </c>
      <c r="J52" s="432">
        <f>[80]Sheet1!$D$32</f>
        <v>6500000</v>
      </c>
      <c r="K52" s="437">
        <f>I52*J52</f>
        <v>6500000</v>
      </c>
    </row>
    <row r="53" spans="2:15">
      <c r="B53" s="421">
        <v>4</v>
      </c>
      <c r="C53" s="434" t="str">
        <f>[80]Sheet1!$B$33</f>
        <v>Kabel Protection ( Ugreen Cable Zipper Protection )</v>
      </c>
      <c r="G53" s="435"/>
      <c r="H53" s="272" t="s">
        <v>813</v>
      </c>
      <c r="I53" s="436">
        <v>1</v>
      </c>
      <c r="J53" s="432">
        <f>[80]Sheet1!$D$33</f>
        <v>200000</v>
      </c>
      <c r="K53" s="437">
        <f t="shared" ref="K53:K55" si="3">I53*J53</f>
        <v>200000</v>
      </c>
    </row>
    <row r="54" spans="2:15">
      <c r="B54" s="421">
        <v>5</v>
      </c>
      <c r="C54" s="434" t="str">
        <f>[80]Sheet1!$B$34</f>
        <v>Paku Klem</v>
      </c>
      <c r="G54" s="435"/>
      <c r="H54" s="272" t="s">
        <v>1015</v>
      </c>
      <c r="I54" s="436">
        <v>1</v>
      </c>
      <c r="J54" s="432">
        <f>[80]Sheet1!$D$34</f>
        <v>500000</v>
      </c>
      <c r="K54" s="437">
        <f t="shared" si="3"/>
        <v>500000</v>
      </c>
    </row>
    <row r="55" spans="2:15">
      <c r="B55" s="421">
        <v>6</v>
      </c>
      <c r="C55" s="434" t="str">
        <f>[80]Sheet1!$B$35</f>
        <v>Peralatan kerja pabx</v>
      </c>
      <c r="G55" s="435"/>
      <c r="H55" s="272" t="s">
        <v>392</v>
      </c>
      <c r="I55" s="436">
        <v>1</v>
      </c>
      <c r="J55" s="432">
        <f>[80]Sheet1!$D$35</f>
        <v>2000000</v>
      </c>
      <c r="K55" s="437">
        <f t="shared" si="3"/>
        <v>2000000</v>
      </c>
    </row>
    <row r="56" spans="2:15">
      <c r="B56" s="671"/>
      <c r="C56" s="434"/>
      <c r="G56" s="435"/>
      <c r="I56" s="444"/>
      <c r="J56" s="432"/>
      <c r="K56" s="437"/>
    </row>
    <row r="57" spans="2:15">
      <c r="B57" s="421"/>
      <c r="C57" s="434"/>
      <c r="G57" s="435"/>
      <c r="I57" s="444"/>
      <c r="J57" s="439" t="s">
        <v>365</v>
      </c>
      <c r="K57" s="440">
        <f>SUM(K50:K55)</f>
        <v>17700000</v>
      </c>
      <c r="O57" s="818"/>
    </row>
    <row r="58" spans="2:15">
      <c r="B58" s="449" t="s">
        <v>366</v>
      </c>
      <c r="C58" s="568" t="s">
        <v>1009</v>
      </c>
      <c r="D58" s="816"/>
      <c r="E58" s="816"/>
      <c r="F58" s="816"/>
      <c r="G58" s="430"/>
      <c r="I58" s="444"/>
      <c r="J58" s="432"/>
      <c r="K58" s="437"/>
    </row>
    <row r="59" spans="2:15">
      <c r="B59" s="421">
        <v>1</v>
      </c>
      <c r="C59" s="434" t="str">
        <f>[80]Sheet1!$B$37</f>
        <v>Rumah Kabel</v>
      </c>
      <c r="G59" s="435"/>
      <c r="H59" s="272" t="s">
        <v>1014</v>
      </c>
      <c r="I59" s="436">
        <v>1</v>
      </c>
      <c r="J59" s="432">
        <f>[80]Sheet1!$D$37</f>
        <v>1500000</v>
      </c>
      <c r="K59" s="437">
        <f t="shared" ref="K59:K67" si="4">I59*J59</f>
        <v>1500000</v>
      </c>
    </row>
    <row r="60" spans="2:15">
      <c r="B60" s="421">
        <f t="shared" ref="B60:B67" si="5">B59+1</f>
        <v>2</v>
      </c>
      <c r="C60" s="434" t="str">
        <f>[80]Sheet1!$B$38</f>
        <v>paku-paku &amp; Klem</v>
      </c>
      <c r="G60" s="435"/>
      <c r="H60" s="272" t="s">
        <v>1015</v>
      </c>
      <c r="I60" s="436">
        <v>1</v>
      </c>
      <c r="J60" s="432">
        <f>[80]Sheet1!$D$38</f>
        <v>2000000</v>
      </c>
      <c r="K60" s="437">
        <f t="shared" si="4"/>
        <v>2000000</v>
      </c>
    </row>
    <row r="61" spans="2:15">
      <c r="B61" s="421">
        <f t="shared" si="5"/>
        <v>3</v>
      </c>
      <c r="C61" s="434"/>
      <c r="G61" s="435"/>
      <c r="I61" s="436">
        <v>0</v>
      </c>
      <c r="J61" s="432">
        <v>0</v>
      </c>
      <c r="K61" s="437">
        <f t="shared" si="4"/>
        <v>0</v>
      </c>
    </row>
    <row r="62" spans="2:15">
      <c r="B62" s="421">
        <f t="shared" si="5"/>
        <v>4</v>
      </c>
      <c r="C62" s="434"/>
      <c r="G62" s="435"/>
      <c r="I62" s="436">
        <v>0</v>
      </c>
      <c r="J62" s="432">
        <v>0</v>
      </c>
      <c r="K62" s="437">
        <f t="shared" si="4"/>
        <v>0</v>
      </c>
    </row>
    <row r="63" spans="2:15">
      <c r="B63" s="421">
        <f t="shared" si="5"/>
        <v>5</v>
      </c>
      <c r="C63" s="434"/>
      <c r="G63" s="435"/>
      <c r="I63" s="436">
        <v>0</v>
      </c>
      <c r="J63" s="432">
        <v>0</v>
      </c>
      <c r="K63" s="437">
        <f t="shared" si="4"/>
        <v>0</v>
      </c>
    </row>
    <row r="64" spans="2:15">
      <c r="B64" s="421">
        <f t="shared" si="5"/>
        <v>6</v>
      </c>
      <c r="C64" s="434"/>
      <c r="G64" s="435"/>
      <c r="I64" s="436">
        <v>0</v>
      </c>
      <c r="J64" s="432">
        <v>0</v>
      </c>
      <c r="K64" s="437">
        <f t="shared" si="4"/>
        <v>0</v>
      </c>
    </row>
    <row r="65" spans="1:22">
      <c r="B65" s="421">
        <f t="shared" si="5"/>
        <v>7</v>
      </c>
      <c r="C65" s="434"/>
      <c r="G65" s="435"/>
      <c r="I65" s="436">
        <v>0</v>
      </c>
      <c r="J65" s="432">
        <v>0</v>
      </c>
      <c r="K65" s="437">
        <f t="shared" si="4"/>
        <v>0</v>
      </c>
    </row>
    <row r="66" spans="1:22">
      <c r="B66" s="421">
        <f t="shared" si="5"/>
        <v>8</v>
      </c>
      <c r="C66" s="434"/>
      <c r="G66" s="435"/>
      <c r="I66" s="436">
        <v>0</v>
      </c>
      <c r="J66" s="432">
        <v>0</v>
      </c>
      <c r="K66" s="437">
        <f t="shared" si="4"/>
        <v>0</v>
      </c>
    </row>
    <row r="67" spans="1:22">
      <c r="B67" s="421">
        <f t="shared" si="5"/>
        <v>9</v>
      </c>
      <c r="C67" s="434"/>
      <c r="G67" s="435"/>
      <c r="I67" s="436">
        <v>0</v>
      </c>
      <c r="J67" s="432">
        <v>0</v>
      </c>
      <c r="K67" s="437">
        <f t="shared" si="4"/>
        <v>0</v>
      </c>
    </row>
    <row r="68" spans="1:22">
      <c r="B68" s="421"/>
      <c r="C68" s="434"/>
      <c r="G68" s="435"/>
      <c r="I68" s="436"/>
      <c r="J68" s="432"/>
      <c r="K68" s="437"/>
    </row>
    <row r="69" spans="1:22">
      <c r="B69" s="421"/>
      <c r="C69" s="434"/>
      <c r="G69" s="435"/>
      <c r="I69" s="444"/>
      <c r="J69" s="439" t="s">
        <v>368</v>
      </c>
      <c r="K69" s="440">
        <f>SUM(K59:K60)</f>
        <v>3500000</v>
      </c>
    </row>
    <row r="70" spans="1:22">
      <c r="B70" s="449" t="s">
        <v>369</v>
      </c>
      <c r="C70" s="429" t="s">
        <v>62</v>
      </c>
      <c r="D70" s="816"/>
      <c r="E70" s="816"/>
      <c r="F70" s="816"/>
      <c r="G70" s="430"/>
      <c r="I70" s="444"/>
      <c r="J70" s="432"/>
      <c r="K70" s="437"/>
    </row>
    <row r="71" spans="1:22">
      <c r="B71" s="421">
        <v>1</v>
      </c>
      <c r="C71" s="434"/>
      <c r="G71" s="435"/>
      <c r="I71" s="436">
        <v>0</v>
      </c>
      <c r="J71" s="432">
        <v>0</v>
      </c>
      <c r="K71" s="437">
        <f>I71*J71</f>
        <v>0</v>
      </c>
    </row>
    <row r="72" spans="1:22">
      <c r="B72" s="421">
        <f>B71+1</f>
        <v>2</v>
      </c>
      <c r="C72" s="434"/>
      <c r="G72" s="435"/>
      <c r="I72" s="436">
        <v>0</v>
      </c>
      <c r="J72" s="432">
        <v>0</v>
      </c>
      <c r="K72" s="437">
        <f>I72*J72</f>
        <v>0</v>
      </c>
    </row>
    <row r="73" spans="1:22">
      <c r="B73" s="421">
        <f>B72+1</f>
        <v>3</v>
      </c>
      <c r="C73" s="450"/>
      <c r="D73" s="820"/>
      <c r="E73" s="820"/>
      <c r="F73" s="820"/>
      <c r="G73" s="452"/>
      <c r="I73" s="436">
        <v>0</v>
      </c>
      <c r="J73" s="432">
        <v>0</v>
      </c>
      <c r="K73" s="437">
        <f>I73*J73</f>
        <v>0</v>
      </c>
      <c r="N73" s="434" t="s">
        <v>795</v>
      </c>
      <c r="R73" s="435"/>
      <c r="S73" s="815" t="s">
        <v>254</v>
      </c>
      <c r="T73" s="436">
        <f>2*98.1</f>
        <v>196.2</v>
      </c>
      <c r="U73" s="432">
        <v>140000</v>
      </c>
      <c r="V73" s="437">
        <f t="shared" ref="V73:V81" si="6">T73*U73</f>
        <v>27468000</v>
      </c>
    </row>
    <row r="74" spans="1:22">
      <c r="B74" s="421">
        <f>B73+1</f>
        <v>4</v>
      </c>
      <c r="C74" s="434"/>
      <c r="G74" s="435"/>
      <c r="I74" s="444"/>
      <c r="J74" s="432"/>
      <c r="K74" s="437"/>
      <c r="N74" s="434" t="s">
        <v>794</v>
      </c>
      <c r="R74" s="435"/>
      <c r="S74" s="815" t="s">
        <v>14</v>
      </c>
      <c r="T74" s="436">
        <v>53</v>
      </c>
      <c r="U74" s="432">
        <v>500000</v>
      </c>
      <c r="V74" s="437">
        <f t="shared" si="6"/>
        <v>26500000</v>
      </c>
    </row>
    <row r="75" spans="1:22">
      <c r="B75" s="421"/>
      <c r="C75" s="434"/>
      <c r="G75" s="435"/>
      <c r="I75" s="436">
        <v>0</v>
      </c>
      <c r="J75" s="432">
        <v>0</v>
      </c>
      <c r="K75" s="437">
        <f>I75*J75</f>
        <v>0</v>
      </c>
      <c r="N75" s="434" t="s">
        <v>793</v>
      </c>
      <c r="R75" s="435"/>
      <c r="S75" s="815" t="s">
        <v>254</v>
      </c>
      <c r="T75" s="436">
        <f>72.5*2</f>
        <v>145</v>
      </c>
      <c r="U75" s="432">
        <v>140000</v>
      </c>
      <c r="V75" s="437">
        <f t="shared" si="6"/>
        <v>20300000</v>
      </c>
    </row>
    <row r="76" spans="1:22">
      <c r="B76" s="421"/>
      <c r="C76" s="434"/>
      <c r="G76" s="435"/>
      <c r="I76" s="436">
        <v>0</v>
      </c>
      <c r="J76" s="432">
        <v>0</v>
      </c>
      <c r="K76" s="437">
        <f>I76*J76</f>
        <v>0</v>
      </c>
      <c r="N76" s="434" t="s">
        <v>792</v>
      </c>
      <c r="R76" s="435"/>
      <c r="S76" s="815" t="s">
        <v>14</v>
      </c>
      <c r="T76" s="436">
        <f>29*2</f>
        <v>58</v>
      </c>
      <c r="U76" s="432">
        <v>500000</v>
      </c>
      <c r="V76" s="437">
        <f t="shared" si="6"/>
        <v>29000000</v>
      </c>
    </row>
    <row r="77" spans="1:22">
      <c r="B77" s="421"/>
      <c r="C77" s="434"/>
      <c r="G77" s="435"/>
      <c r="I77" s="444"/>
      <c r="J77" s="432"/>
      <c r="K77" s="437"/>
      <c r="N77" s="434" t="s">
        <v>791</v>
      </c>
      <c r="R77" s="435"/>
      <c r="S77" s="815" t="s">
        <v>254</v>
      </c>
      <c r="T77" s="436">
        <f>33*3</f>
        <v>99</v>
      </c>
      <c r="U77" s="432">
        <v>140000</v>
      </c>
      <c r="V77" s="437">
        <f t="shared" si="6"/>
        <v>13860000</v>
      </c>
    </row>
    <row r="78" spans="1:22">
      <c r="B78" s="421"/>
      <c r="C78" s="434"/>
      <c r="G78" s="435"/>
      <c r="I78" s="444"/>
      <c r="J78" s="439" t="s">
        <v>371</v>
      </c>
      <c r="K78" s="440">
        <f>SUM(K71:K77)</f>
        <v>0</v>
      </c>
      <c r="N78" s="434" t="s">
        <v>790</v>
      </c>
      <c r="R78" s="435"/>
      <c r="S78" s="815" t="s">
        <v>14</v>
      </c>
      <c r="T78" s="436">
        <f>3*11.8</f>
        <v>35.400000000000006</v>
      </c>
      <c r="U78" s="432">
        <v>500000</v>
      </c>
      <c r="V78" s="437">
        <f t="shared" si="6"/>
        <v>17700000.000000004</v>
      </c>
    </row>
    <row r="79" spans="1:22">
      <c r="A79" s="820"/>
      <c r="B79" s="428" t="s">
        <v>372</v>
      </c>
      <c r="C79" s="429" t="s">
        <v>62</v>
      </c>
      <c r="D79" s="816"/>
      <c r="E79" s="816"/>
      <c r="F79" s="816"/>
      <c r="G79" s="430"/>
      <c r="I79" s="444"/>
      <c r="J79" s="432"/>
      <c r="K79" s="437"/>
      <c r="N79" s="434" t="s">
        <v>789</v>
      </c>
      <c r="R79" s="435"/>
      <c r="S79" s="815" t="s">
        <v>254</v>
      </c>
      <c r="T79" s="436">
        <v>9.4</v>
      </c>
      <c r="U79" s="432">
        <v>140000</v>
      </c>
      <c r="V79" s="437">
        <f t="shared" si="6"/>
        <v>1316000</v>
      </c>
    </row>
    <row r="80" spans="1:22">
      <c r="B80" s="421">
        <v>1</v>
      </c>
      <c r="C80" s="434"/>
      <c r="G80" s="435"/>
      <c r="I80" s="436">
        <v>0</v>
      </c>
      <c r="J80" s="432">
        <v>0</v>
      </c>
      <c r="K80" s="437">
        <f t="shared" ref="K80:K89" si="7">I80*J80</f>
        <v>0</v>
      </c>
      <c r="N80" s="434" t="s">
        <v>788</v>
      </c>
      <c r="R80" s="435"/>
      <c r="S80" s="815" t="s">
        <v>14</v>
      </c>
      <c r="T80" s="436">
        <v>2</v>
      </c>
      <c r="U80" s="432">
        <v>500000</v>
      </c>
      <c r="V80" s="437">
        <f t="shared" si="6"/>
        <v>1000000</v>
      </c>
    </row>
    <row r="81" spans="1:22">
      <c r="B81" s="421">
        <f>B80+1</f>
        <v>2</v>
      </c>
      <c r="C81" s="434"/>
      <c r="G81" s="435"/>
      <c r="I81" s="436">
        <v>0</v>
      </c>
      <c r="J81" s="432">
        <v>0</v>
      </c>
      <c r="K81" s="437">
        <f>I81*J81</f>
        <v>0</v>
      </c>
      <c r="N81" s="434" t="s">
        <v>787</v>
      </c>
      <c r="R81" s="435"/>
      <c r="S81" s="815" t="s">
        <v>254</v>
      </c>
      <c r="T81" s="436">
        <v>10</v>
      </c>
      <c r="U81" s="432">
        <v>140000</v>
      </c>
      <c r="V81" s="437">
        <f t="shared" si="6"/>
        <v>1400000</v>
      </c>
    </row>
    <row r="82" spans="1:22">
      <c r="B82" s="421">
        <f t="shared" ref="B82:B84" si="8">B81+1</f>
        <v>3</v>
      </c>
      <c r="C82" s="434"/>
      <c r="G82" s="435"/>
      <c r="I82" s="436">
        <v>0</v>
      </c>
      <c r="J82" s="432">
        <v>0</v>
      </c>
      <c r="K82" s="437">
        <f>I82*J82</f>
        <v>0</v>
      </c>
    </row>
    <row r="83" spans="1:22">
      <c r="B83" s="421">
        <f t="shared" si="8"/>
        <v>4</v>
      </c>
      <c r="C83" s="434"/>
      <c r="G83" s="435"/>
      <c r="I83" s="436">
        <v>0</v>
      </c>
      <c r="J83" s="432">
        <v>0</v>
      </c>
      <c r="K83" s="437">
        <f>I83*J83</f>
        <v>0</v>
      </c>
    </row>
    <row r="84" spans="1:22">
      <c r="B84" s="421">
        <f t="shared" si="8"/>
        <v>5</v>
      </c>
      <c r="C84" s="434"/>
      <c r="G84" s="435"/>
      <c r="I84" s="436">
        <v>0</v>
      </c>
      <c r="J84" s="432">
        <v>0</v>
      </c>
      <c r="K84" s="437">
        <f t="shared" si="7"/>
        <v>0</v>
      </c>
    </row>
    <row r="85" spans="1:22">
      <c r="B85" s="421">
        <f t="shared" ref="B85:B89" si="9">B84+1</f>
        <v>6</v>
      </c>
      <c r="C85" s="434"/>
      <c r="G85" s="435"/>
      <c r="I85" s="436">
        <v>0</v>
      </c>
      <c r="J85" s="432">
        <v>0</v>
      </c>
      <c r="K85" s="437">
        <f t="shared" si="7"/>
        <v>0</v>
      </c>
    </row>
    <row r="86" spans="1:22">
      <c r="B86" s="421">
        <f t="shared" si="9"/>
        <v>7</v>
      </c>
      <c r="C86" s="434"/>
      <c r="G86" s="435"/>
      <c r="I86" s="436">
        <v>0</v>
      </c>
      <c r="J86" s="432">
        <v>0</v>
      </c>
      <c r="K86" s="437">
        <f t="shared" si="7"/>
        <v>0</v>
      </c>
    </row>
    <row r="87" spans="1:22">
      <c r="B87" s="421">
        <f t="shared" si="9"/>
        <v>8</v>
      </c>
      <c r="C87" s="434"/>
      <c r="G87" s="435"/>
      <c r="I87" s="436">
        <v>0</v>
      </c>
      <c r="J87" s="432">
        <v>0</v>
      </c>
      <c r="K87" s="437">
        <f t="shared" si="7"/>
        <v>0</v>
      </c>
    </row>
    <row r="88" spans="1:22">
      <c r="B88" s="421">
        <f t="shared" si="9"/>
        <v>9</v>
      </c>
      <c r="C88" s="434"/>
      <c r="G88" s="435"/>
      <c r="I88" s="436">
        <v>0</v>
      </c>
      <c r="J88" s="432">
        <v>0</v>
      </c>
      <c r="K88" s="437">
        <f t="shared" si="7"/>
        <v>0</v>
      </c>
    </row>
    <row r="89" spans="1:22">
      <c r="B89" s="421">
        <f t="shared" si="9"/>
        <v>10</v>
      </c>
      <c r="C89" s="434"/>
      <c r="G89" s="435"/>
      <c r="I89" s="436">
        <v>0</v>
      </c>
      <c r="J89" s="432">
        <v>0</v>
      </c>
      <c r="K89" s="437">
        <f t="shared" si="7"/>
        <v>0</v>
      </c>
    </row>
    <row r="90" spans="1:22">
      <c r="B90" s="421"/>
      <c r="C90" s="434"/>
      <c r="G90" s="435"/>
      <c r="I90" s="444"/>
      <c r="J90" s="432"/>
      <c r="K90" s="437"/>
    </row>
    <row r="91" spans="1:22">
      <c r="B91" s="421"/>
      <c r="C91" s="434"/>
      <c r="G91" s="435"/>
      <c r="I91" s="444"/>
      <c r="J91" s="439" t="s">
        <v>377</v>
      </c>
      <c r="K91" s="440">
        <f>SUM(K80:K89)</f>
        <v>0</v>
      </c>
    </row>
    <row r="92" spans="1:22">
      <c r="B92" s="428" t="s">
        <v>378</v>
      </c>
      <c r="C92" s="429" t="s">
        <v>62</v>
      </c>
      <c r="D92" s="816"/>
      <c r="E92" s="816"/>
      <c r="F92" s="816"/>
      <c r="G92" s="430"/>
      <c r="I92" s="444"/>
      <c r="J92" s="432"/>
      <c r="K92" s="437"/>
    </row>
    <row r="93" spans="1:22">
      <c r="B93" s="421">
        <v>1</v>
      </c>
      <c r="C93" s="434"/>
      <c r="G93" s="435"/>
      <c r="I93" s="436">
        <v>0</v>
      </c>
      <c r="J93" s="432">
        <v>0</v>
      </c>
      <c r="K93" s="437">
        <f>I93*J93</f>
        <v>0</v>
      </c>
    </row>
    <row r="94" spans="1:22">
      <c r="B94" s="421"/>
      <c r="C94" s="434"/>
      <c r="G94" s="435"/>
      <c r="I94" s="444"/>
      <c r="J94" s="432"/>
      <c r="K94" s="437"/>
    </row>
    <row r="95" spans="1:22">
      <c r="B95" s="421"/>
      <c r="C95" s="434"/>
      <c r="G95" s="435"/>
      <c r="I95" s="444"/>
      <c r="J95" s="439" t="s">
        <v>383</v>
      </c>
      <c r="K95" s="440">
        <f>SUM(K93:K94)</f>
        <v>0</v>
      </c>
      <c r="L95" s="818"/>
      <c r="M95" s="818"/>
      <c r="P95" s="818"/>
    </row>
    <row r="96" spans="1:22">
      <c r="A96" s="820"/>
      <c r="B96" s="428" t="s">
        <v>384</v>
      </c>
      <c r="C96" s="429" t="s">
        <v>62</v>
      </c>
      <c r="D96" s="816"/>
      <c r="E96" s="816"/>
      <c r="F96" s="816"/>
      <c r="G96" s="430"/>
      <c r="I96" s="444"/>
      <c r="J96" s="432"/>
      <c r="K96" s="437"/>
    </row>
    <row r="97" spans="2:11">
      <c r="B97" s="421"/>
      <c r="C97" s="434" t="s">
        <v>1000</v>
      </c>
      <c r="G97" s="435"/>
      <c r="I97" s="453"/>
      <c r="J97" s="432"/>
      <c r="K97" s="437"/>
    </row>
    <row r="98" spans="2:11">
      <c r="B98" s="421"/>
      <c r="C98" s="434"/>
      <c r="G98" s="435"/>
      <c r="I98" s="453"/>
      <c r="J98" s="432"/>
      <c r="K98" s="437"/>
    </row>
    <row r="99" spans="2:11">
      <c r="B99" s="421"/>
      <c r="C99" s="434"/>
      <c r="G99" s="435"/>
      <c r="I99" s="453"/>
      <c r="J99" s="432"/>
      <c r="K99" s="437"/>
    </row>
    <row r="100" spans="2:11">
      <c r="B100" s="438"/>
      <c r="C100" s="434"/>
      <c r="G100" s="435"/>
      <c r="I100" s="453"/>
      <c r="J100" s="432"/>
      <c r="K100" s="437"/>
    </row>
    <row r="101" spans="2:11">
      <c r="B101" s="421"/>
      <c r="C101" s="434"/>
      <c r="G101" s="435"/>
      <c r="I101" s="444"/>
      <c r="J101" s="439" t="s">
        <v>388</v>
      </c>
      <c r="K101" s="440">
        <f>SUM(K97:K100)</f>
        <v>0</v>
      </c>
    </row>
    <row r="102" spans="2:11">
      <c r="B102" s="428" t="s">
        <v>389</v>
      </c>
      <c r="C102" s="429" t="s">
        <v>62</v>
      </c>
      <c r="D102" s="816"/>
      <c r="E102" s="816"/>
      <c r="F102" s="816"/>
      <c r="G102" s="430"/>
      <c r="I102" s="444"/>
      <c r="J102" s="432"/>
      <c r="K102" s="437"/>
    </row>
    <row r="103" spans="2:11">
      <c r="B103" s="421"/>
      <c r="C103" s="434" t="s">
        <v>984</v>
      </c>
      <c r="D103" s="849"/>
      <c r="E103" s="849"/>
      <c r="F103" s="849"/>
      <c r="G103" s="575"/>
      <c r="I103" s="453"/>
      <c r="J103" s="572"/>
      <c r="K103" s="437"/>
    </row>
    <row r="104" spans="2:11">
      <c r="B104" s="421"/>
      <c r="C104" s="574"/>
      <c r="D104" s="849"/>
      <c r="E104" s="849"/>
      <c r="F104" s="849"/>
      <c r="G104" s="575"/>
      <c r="I104" s="453"/>
      <c r="J104" s="572"/>
      <c r="K104" s="437"/>
    </row>
    <row r="105" spans="2:11">
      <c r="B105" s="421"/>
      <c r="C105" s="574"/>
      <c r="D105" s="849"/>
      <c r="E105" s="849"/>
      <c r="F105" s="849"/>
      <c r="G105" s="575"/>
      <c r="I105" s="453"/>
      <c r="J105" s="572"/>
      <c r="K105" s="437"/>
    </row>
    <row r="106" spans="2:11">
      <c r="B106" s="421"/>
      <c r="C106" s="574"/>
      <c r="D106" s="849"/>
      <c r="E106" s="849"/>
      <c r="F106" s="849"/>
      <c r="G106" s="575"/>
      <c r="I106" s="453"/>
      <c r="J106" s="572"/>
      <c r="K106" s="437"/>
    </row>
    <row r="107" spans="2:11">
      <c r="B107" s="421"/>
      <c r="C107" s="574"/>
      <c r="D107" s="849"/>
      <c r="E107" s="849"/>
      <c r="F107" s="849"/>
      <c r="G107" s="575"/>
      <c r="I107" s="453"/>
      <c r="J107" s="572"/>
      <c r="K107" s="437"/>
    </row>
    <row r="108" spans="2:11">
      <c r="B108" s="421"/>
      <c r="C108" s="574"/>
      <c r="D108" s="849"/>
      <c r="E108" s="849"/>
      <c r="F108" s="849"/>
      <c r="G108" s="575"/>
      <c r="I108" s="453"/>
      <c r="J108" s="572"/>
      <c r="K108" s="437"/>
    </row>
    <row r="109" spans="2:11">
      <c r="B109" s="421"/>
      <c r="C109" s="434"/>
      <c r="G109" s="435"/>
      <c r="I109" s="444"/>
      <c r="J109" s="432"/>
      <c r="K109" s="437"/>
    </row>
    <row r="110" spans="2:11">
      <c r="B110" s="421"/>
      <c r="C110" s="434" t="s">
        <v>652</v>
      </c>
      <c r="G110" s="435"/>
      <c r="I110" s="829"/>
      <c r="J110" s="439" t="s">
        <v>394</v>
      </c>
      <c r="K110" s="440">
        <f>SUM(K103:K109)</f>
        <v>0</v>
      </c>
    </row>
    <row r="111" spans="2:11">
      <c r="B111" s="428" t="s">
        <v>395</v>
      </c>
      <c r="C111" s="429" t="s">
        <v>62</v>
      </c>
      <c r="D111" s="816"/>
      <c r="E111" s="816"/>
      <c r="F111" s="816"/>
      <c r="G111" s="430"/>
      <c r="I111" s="444"/>
      <c r="J111" s="432"/>
      <c r="K111" s="437"/>
    </row>
    <row r="112" spans="2:11">
      <c r="B112" s="421">
        <f>B110+1</f>
        <v>1</v>
      </c>
      <c r="C112" s="434"/>
      <c r="G112" s="435"/>
      <c r="I112" s="436">
        <v>0</v>
      </c>
      <c r="J112" s="432">
        <v>0</v>
      </c>
      <c r="K112" s="437">
        <f>I112*J112</f>
        <v>0</v>
      </c>
    </row>
    <row r="113" spans="2:11">
      <c r="B113" s="421">
        <f>B112+1</f>
        <v>2</v>
      </c>
      <c r="C113" s="434"/>
      <c r="G113" s="435"/>
      <c r="I113" s="436">
        <v>0</v>
      </c>
      <c r="J113" s="432">
        <v>0</v>
      </c>
      <c r="K113" s="437">
        <f>I113*J113</f>
        <v>0</v>
      </c>
    </row>
    <row r="114" spans="2:11">
      <c r="B114" s="421">
        <f>B113+1</f>
        <v>3</v>
      </c>
      <c r="C114" s="434"/>
      <c r="G114" s="435"/>
      <c r="I114" s="436">
        <v>0</v>
      </c>
      <c r="J114" s="432">
        <v>0</v>
      </c>
      <c r="K114" s="437">
        <f>I114*J114</f>
        <v>0</v>
      </c>
    </row>
    <row r="115" spans="2:11">
      <c r="B115" s="421">
        <f>B114+1</f>
        <v>4</v>
      </c>
      <c r="C115" s="434"/>
      <c r="G115" s="435"/>
      <c r="I115" s="436">
        <v>0</v>
      </c>
      <c r="J115" s="432">
        <v>0</v>
      </c>
      <c r="K115" s="437">
        <f>I115*J115</f>
        <v>0</v>
      </c>
    </row>
    <row r="116" spans="2:11">
      <c r="B116" s="421">
        <f>B115+1</f>
        <v>5</v>
      </c>
      <c r="C116" s="434"/>
      <c r="G116" s="435"/>
      <c r="I116" s="436">
        <v>0</v>
      </c>
      <c r="J116" s="432">
        <v>0</v>
      </c>
      <c r="K116" s="437">
        <f>I116*J116</f>
        <v>0</v>
      </c>
    </row>
    <row r="117" spans="2:11">
      <c r="B117" s="421"/>
      <c r="C117" s="434"/>
      <c r="G117" s="435"/>
      <c r="I117" s="436"/>
      <c r="J117" s="432"/>
      <c r="K117" s="437"/>
    </row>
    <row r="118" spans="2:11">
      <c r="B118" s="421"/>
      <c r="C118" s="434"/>
      <c r="G118" s="435"/>
      <c r="I118" s="436"/>
      <c r="J118" s="439" t="s">
        <v>500</v>
      </c>
      <c r="K118" s="440">
        <f>SUM(K112:K116)</f>
        <v>0</v>
      </c>
    </row>
    <row r="119" spans="2:11">
      <c r="B119" s="421"/>
      <c r="C119" s="434"/>
      <c r="G119" s="435"/>
      <c r="I119" s="436"/>
      <c r="J119" s="439"/>
      <c r="K119" s="440"/>
    </row>
    <row r="120" spans="2:11" ht="16.5" thickBot="1">
      <c r="B120" s="459"/>
      <c r="C120" s="460"/>
      <c r="D120" s="461"/>
      <c r="E120" s="461"/>
      <c r="F120" s="461"/>
      <c r="G120" s="462"/>
      <c r="H120" s="463"/>
      <c r="I120" s="464"/>
      <c r="J120" s="856"/>
      <c r="K120" s="466"/>
    </row>
    <row r="121" spans="2:11">
      <c r="B121" s="421"/>
      <c r="C121" s="434"/>
      <c r="G121" s="435"/>
      <c r="I121" s="436"/>
      <c r="J121" s="439"/>
      <c r="K121" s="440"/>
    </row>
    <row r="122" spans="2:11">
      <c r="B122" s="421"/>
      <c r="C122" s="434"/>
      <c r="G122" s="435"/>
      <c r="I122" s="436"/>
      <c r="J122" s="439" t="s">
        <v>410</v>
      </c>
      <c r="K122" s="467">
        <f>SUM(K11:K119)/2</f>
        <v>89100000</v>
      </c>
    </row>
    <row r="123" spans="2:11" ht="16.5" thickBot="1">
      <c r="B123" s="468"/>
      <c r="C123" s="469"/>
      <c r="D123" s="470"/>
      <c r="E123" s="470"/>
      <c r="F123" s="470"/>
      <c r="G123" s="471"/>
      <c r="H123" s="472"/>
      <c r="I123" s="473"/>
      <c r="J123" s="474"/>
      <c r="K123" s="475"/>
    </row>
    <row r="124" spans="2:11" ht="16.5" thickTop="1">
      <c r="I124" s="476"/>
      <c r="J124" s="477"/>
      <c r="K124" s="479"/>
    </row>
    <row r="125" spans="2:11">
      <c r="I125" s="476"/>
      <c r="J125" s="477"/>
      <c r="K125" s="478"/>
    </row>
    <row r="126" spans="2:11">
      <c r="I126" s="476"/>
      <c r="J126" s="477"/>
      <c r="K126" s="479"/>
    </row>
    <row r="127" spans="2:11">
      <c r="I127" s="476"/>
      <c r="J127" s="477"/>
      <c r="K127" s="478"/>
    </row>
    <row r="128" spans="2:11">
      <c r="I128" s="476"/>
      <c r="J128" s="477"/>
      <c r="K128" s="479"/>
    </row>
    <row r="129" spans="8:11">
      <c r="I129" s="476"/>
      <c r="J129" s="477"/>
      <c r="K129" s="479"/>
    </row>
    <row r="130" spans="8:11">
      <c r="I130" s="476"/>
      <c r="J130" s="477"/>
      <c r="K130" s="479"/>
    </row>
    <row r="131" spans="8:11">
      <c r="I131" s="476"/>
      <c r="J131" s="477"/>
      <c r="K131" s="479"/>
    </row>
    <row r="132" spans="8:11">
      <c r="I132" s="476"/>
      <c r="J132" s="477"/>
      <c r="K132" s="479"/>
    </row>
    <row r="133" spans="8:11">
      <c r="I133" s="476"/>
      <c r="J133" s="477"/>
      <c r="K133" s="479"/>
    </row>
    <row r="134" spans="8:11">
      <c r="I134" s="476"/>
      <c r="J134" s="477"/>
      <c r="K134" s="479"/>
    </row>
    <row r="135" spans="8:11">
      <c r="I135" s="476"/>
      <c r="J135" s="477"/>
      <c r="K135" s="479"/>
    </row>
    <row r="136" spans="8:11">
      <c r="I136" s="476"/>
      <c r="J136" s="477"/>
      <c r="K136" s="479"/>
    </row>
    <row r="138" spans="8:11">
      <c r="H138" s="851"/>
      <c r="K138" s="480"/>
    </row>
    <row r="139" spans="8:11">
      <c r="H139" s="851"/>
      <c r="K139" s="818"/>
    </row>
    <row r="140" spans="8:11">
      <c r="K140" s="481"/>
    </row>
    <row r="141" spans="8:11">
      <c r="H141" s="851"/>
    </row>
    <row r="146" spans="8:8">
      <c r="H146" s="853"/>
    </row>
  </sheetData>
  <mergeCells count="1">
    <mergeCell ref="I7:K7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6DFC7-D44D-4A12-8962-F04CFDD17EF4}">
  <sheetPr>
    <tabColor rgb="FFFFFF00"/>
    <pageSetUpPr fitToPage="1"/>
  </sheetPr>
  <dimension ref="A2:L35"/>
  <sheetViews>
    <sheetView workbookViewId="0">
      <selection activeCell="O38" sqref="O38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872" t="s">
        <v>0</v>
      </c>
      <c r="C3" s="41"/>
      <c r="E3" s="43"/>
      <c r="F3" s="44"/>
    </row>
    <row r="4" spans="1:12">
      <c r="B4" s="872" t="s">
        <v>825</v>
      </c>
      <c r="C4" s="41"/>
      <c r="E4" s="43"/>
      <c r="F4" s="44"/>
    </row>
    <row r="5" spans="1:12">
      <c r="B5" s="873" t="s">
        <v>1</v>
      </c>
      <c r="C5" s="41"/>
      <c r="E5" s="43"/>
      <c r="F5" s="44"/>
    </row>
    <row r="6" spans="1:12">
      <c r="B6" s="872" t="s">
        <v>2</v>
      </c>
      <c r="C6" s="41"/>
      <c r="E6" s="43"/>
      <c r="F6" s="44"/>
    </row>
    <row r="7" spans="1:12">
      <c r="B7" s="873" t="s">
        <v>3</v>
      </c>
      <c r="C7" s="41"/>
      <c r="E7" s="43"/>
      <c r="F7" s="44"/>
    </row>
    <row r="8" spans="1:12" ht="16.5" thickBot="1">
      <c r="F8" s="1136" t="s">
        <v>826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Pos Polisi Blok A</v>
      </c>
      <c r="D13" s="58"/>
      <c r="E13" s="58"/>
      <c r="F13" s="58"/>
      <c r="G13" s="58"/>
      <c r="H13" s="59"/>
    </row>
    <row r="14" spans="1:12" s="875" customFormat="1">
      <c r="A14" s="39"/>
      <c r="B14" s="55" t="s">
        <v>11</v>
      </c>
      <c r="C14" s="56" t="s">
        <v>340</v>
      </c>
      <c r="D14" s="58"/>
      <c r="E14" s="58"/>
      <c r="F14" s="58"/>
      <c r="G14" s="58"/>
      <c r="H14" s="874">
        <f>BQPospol!K15</f>
        <v>400000</v>
      </c>
      <c r="I14" s="39"/>
      <c r="J14" s="39"/>
      <c r="K14" s="39"/>
      <c r="L14" s="39"/>
    </row>
    <row r="15" spans="1:12" s="875" customFormat="1">
      <c r="A15" s="39"/>
      <c r="B15" s="55" t="s">
        <v>12</v>
      </c>
      <c r="C15" s="56" t="s">
        <v>191</v>
      </c>
      <c r="D15" s="58"/>
      <c r="E15" s="58"/>
      <c r="F15" s="58"/>
      <c r="G15" s="58"/>
      <c r="H15" s="874">
        <f>BQPospol!K21</f>
        <v>5571420</v>
      </c>
      <c r="I15" s="39"/>
      <c r="J15" s="39"/>
      <c r="K15" s="39"/>
      <c r="L15" s="39"/>
    </row>
    <row r="16" spans="1:12" s="875" customFormat="1">
      <c r="A16" s="39"/>
      <c r="B16" s="55" t="s">
        <v>16</v>
      </c>
      <c r="C16" s="56" t="s">
        <v>355</v>
      </c>
      <c r="D16" s="58"/>
      <c r="E16" s="58"/>
      <c r="F16" s="58"/>
      <c r="G16" s="58"/>
      <c r="H16" s="874">
        <f>BQPospol!K27</f>
        <v>9161235</v>
      </c>
      <c r="I16" s="39"/>
      <c r="J16" s="39"/>
      <c r="K16" s="39"/>
      <c r="L16" s="39"/>
    </row>
    <row r="17" spans="1:12" s="875" customFormat="1">
      <c r="A17" s="39"/>
      <c r="B17" s="55" t="s">
        <v>19</v>
      </c>
      <c r="C17" s="56" t="s">
        <v>360</v>
      </c>
      <c r="D17" s="58"/>
      <c r="E17" s="58"/>
      <c r="F17" s="58"/>
      <c r="G17" s="58"/>
      <c r="H17" s="874">
        <f>BQPospol!K32</f>
        <v>15220100</v>
      </c>
      <c r="I17" s="39"/>
      <c r="J17" s="39"/>
      <c r="K17" s="39"/>
      <c r="L17" s="39"/>
    </row>
    <row r="18" spans="1:12" s="875" customFormat="1">
      <c r="A18" s="39"/>
      <c r="B18" s="55" t="s">
        <v>22</v>
      </c>
      <c r="C18" s="56" t="s">
        <v>363</v>
      </c>
      <c r="D18" s="58"/>
      <c r="E18" s="58"/>
      <c r="F18" s="58"/>
      <c r="G18" s="58"/>
      <c r="H18" s="874">
        <f>BQPospol!K37</f>
        <v>17892000</v>
      </c>
      <c r="I18" s="39"/>
      <c r="J18" s="39"/>
      <c r="K18" s="39"/>
      <c r="L18" s="39"/>
    </row>
    <row r="19" spans="1:12" s="875" customFormat="1">
      <c r="A19" s="39"/>
      <c r="B19" s="55" t="s">
        <v>25</v>
      </c>
      <c r="C19" s="56" t="s">
        <v>288</v>
      </c>
      <c r="D19" s="58"/>
      <c r="E19" s="58"/>
      <c r="F19" s="58"/>
      <c r="G19" s="58"/>
      <c r="H19" s="874">
        <f>BQPospol!K42</f>
        <v>26750000</v>
      </c>
      <c r="I19" s="39"/>
      <c r="J19" s="39"/>
      <c r="K19" s="39"/>
      <c r="L19" s="39"/>
    </row>
    <row r="20" spans="1:12" s="875" customFormat="1">
      <c r="A20" s="39"/>
      <c r="B20" s="55" t="s">
        <v>27</v>
      </c>
      <c r="C20" s="56" t="s">
        <v>499</v>
      </c>
      <c r="D20" s="58"/>
      <c r="E20" s="58"/>
      <c r="F20" s="58"/>
      <c r="G20" s="58"/>
      <c r="H20" s="874">
        <f>BQPospol!K46</f>
        <v>6500000</v>
      </c>
      <c r="I20" s="39"/>
      <c r="J20" s="39"/>
      <c r="K20" s="39"/>
      <c r="L20" s="39"/>
    </row>
    <row r="21" spans="1:12" s="875" customFormat="1">
      <c r="A21" s="39"/>
      <c r="B21" s="55" t="s">
        <v>28</v>
      </c>
      <c r="C21" s="56" t="s">
        <v>373</v>
      </c>
      <c r="D21" s="58"/>
      <c r="E21" s="58"/>
      <c r="F21" s="58"/>
      <c r="G21" s="58"/>
      <c r="H21" s="874">
        <f>BQPospol!K56</f>
        <v>6935500</v>
      </c>
      <c r="I21" s="39"/>
      <c r="J21" s="39"/>
      <c r="K21" s="39"/>
      <c r="L21" s="39"/>
    </row>
    <row r="22" spans="1:12" s="875" customFormat="1">
      <c r="A22" s="39"/>
      <c r="B22" s="55" t="s">
        <v>30</v>
      </c>
      <c r="C22" s="56" t="s">
        <v>807</v>
      </c>
      <c r="D22" s="58"/>
      <c r="E22" s="58"/>
      <c r="F22" s="58"/>
      <c r="G22" s="58"/>
      <c r="H22" s="874">
        <f>BQPospol!K63</f>
        <v>10160000</v>
      </c>
      <c r="I22" s="39"/>
      <c r="J22" s="39"/>
      <c r="K22" s="39"/>
      <c r="L22" s="39"/>
    </row>
    <row r="23" spans="1:12" s="875" customFormat="1">
      <c r="A23" s="39"/>
      <c r="B23" s="55" t="s">
        <v>33</v>
      </c>
      <c r="C23" s="56" t="s">
        <v>385</v>
      </c>
      <c r="D23" s="58"/>
      <c r="E23" s="58"/>
      <c r="F23" s="58"/>
      <c r="G23" s="58"/>
      <c r="H23" s="874">
        <f>BQPospol!K67</f>
        <v>5114800</v>
      </c>
      <c r="I23" s="39"/>
      <c r="J23" s="39"/>
      <c r="K23" s="39"/>
      <c r="L23" s="39"/>
    </row>
    <row r="24" spans="1:12" s="875" customFormat="1">
      <c r="A24" s="39"/>
      <c r="B24" s="55" t="s">
        <v>34</v>
      </c>
      <c r="C24" s="56" t="s">
        <v>390</v>
      </c>
      <c r="D24" s="58"/>
      <c r="E24" s="58"/>
      <c r="F24" s="58"/>
      <c r="G24" s="58"/>
      <c r="H24" s="874">
        <f>BQPospol!K73</f>
        <v>0</v>
      </c>
      <c r="I24" s="39"/>
      <c r="J24" s="39"/>
      <c r="K24" s="39"/>
      <c r="L24" s="39"/>
    </row>
    <row r="25" spans="1:12" s="875" customFormat="1">
      <c r="A25" s="39"/>
      <c r="B25" s="55" t="s">
        <v>36</v>
      </c>
      <c r="C25" s="56" t="s">
        <v>827</v>
      </c>
      <c r="D25" s="58"/>
      <c r="E25" s="58"/>
      <c r="F25" s="58"/>
      <c r="G25" s="58"/>
      <c r="H25" s="874">
        <f>BQPospol!K78</f>
        <v>0</v>
      </c>
      <c r="I25" s="39"/>
      <c r="J25" s="39"/>
      <c r="K25" s="39"/>
      <c r="L25" s="39"/>
    </row>
    <row r="26" spans="1:12" s="875" customFormat="1">
      <c r="A26" s="39"/>
      <c r="B26" s="55" t="s">
        <v>37</v>
      </c>
      <c r="C26" s="56" t="s">
        <v>824</v>
      </c>
      <c r="D26" s="58"/>
      <c r="E26" s="58"/>
      <c r="F26" s="58"/>
      <c r="G26" s="58"/>
      <c r="H26" s="874">
        <f>BQPospol!K84</f>
        <v>950000</v>
      </c>
      <c r="I26" s="39"/>
      <c r="J26" s="39"/>
      <c r="K26" s="39"/>
      <c r="L26" s="39"/>
    </row>
    <row r="27" spans="1:12" s="875" customFormat="1">
      <c r="A27" s="39"/>
      <c r="B27" s="55"/>
      <c r="C27" s="56"/>
      <c r="D27" s="58"/>
      <c r="E27" s="58"/>
      <c r="F27" s="58"/>
      <c r="G27" s="58"/>
      <c r="H27" s="874"/>
      <c r="I27" s="39"/>
      <c r="J27" s="39"/>
      <c r="K27" s="39"/>
      <c r="L27" s="39"/>
    </row>
    <row r="28" spans="1:12" ht="16.5" thickBot="1">
      <c r="B28" s="69"/>
      <c r="C28" s="70"/>
      <c r="D28" s="70"/>
      <c r="E28" s="70"/>
      <c r="F28" s="70"/>
      <c r="G28" s="70"/>
      <c r="H28" s="876"/>
    </row>
    <row r="29" spans="1:12" ht="17.25" thickTop="1" thickBot="1">
      <c r="B29" s="72"/>
      <c r="C29" s="73"/>
      <c r="D29" s="73"/>
      <c r="E29" s="73"/>
      <c r="F29" s="74" t="s">
        <v>41</v>
      </c>
      <c r="G29" s="74"/>
      <c r="H29" s="75">
        <f>SUM(H14:H28)</f>
        <v>104655055</v>
      </c>
    </row>
    <row r="30" spans="1:12" ht="16.5" thickTop="1">
      <c r="B30" s="76"/>
      <c r="C30" s="77"/>
      <c r="D30" s="77"/>
      <c r="E30" s="77"/>
      <c r="F30" s="77"/>
      <c r="G30" s="77"/>
      <c r="H30" s="78"/>
    </row>
    <row r="31" spans="1:12">
      <c r="B31" s="79"/>
      <c r="C31" s="56"/>
      <c r="D31" s="56"/>
      <c r="E31" s="58"/>
      <c r="F31" s="40"/>
      <c r="G31" s="43"/>
      <c r="H31" s="877"/>
    </row>
    <row r="32" spans="1:12">
      <c r="B32" s="81"/>
      <c r="C32" s="41"/>
      <c r="E32" s="44"/>
      <c r="H32" s="82"/>
    </row>
    <row r="33" spans="2:8">
      <c r="B33" s="81"/>
      <c r="C33" s="41"/>
      <c r="E33" s="44"/>
      <c r="H33" s="878"/>
    </row>
    <row r="34" spans="2:8" ht="16.5" thickBot="1">
      <c r="B34" s="84"/>
      <c r="C34" s="85"/>
      <c r="D34" s="85"/>
      <c r="E34" s="85"/>
      <c r="F34" s="85"/>
      <c r="G34" s="85"/>
      <c r="H34" s="86"/>
    </row>
    <row r="35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2C546C-3948-40A8-B156-3BCD794FF61A}">
  <dimension ref="A1:T112"/>
  <sheetViews>
    <sheetView topLeftCell="A52" workbookViewId="0">
      <selection activeCell="C70" sqref="C70"/>
    </sheetView>
  </sheetViews>
  <sheetFormatPr defaultColWidth="9.140625" defaultRowHeight="15.75"/>
  <cols>
    <col min="1" max="1" width="9.140625" style="415"/>
    <col min="2" max="2" width="6.42578125" style="415" customWidth="1"/>
    <col min="3" max="7" width="10.7109375" style="415" customWidth="1"/>
    <col min="8" max="8" width="9.7109375" style="272" customWidth="1"/>
    <col min="9" max="9" width="9.42578125" style="415" customWidth="1"/>
    <col min="10" max="10" width="11.5703125" style="416" customWidth="1"/>
    <col min="11" max="11" width="15.5703125" style="415" customWidth="1"/>
    <col min="12" max="12" width="9.28515625" style="415" customWidth="1"/>
    <col min="13" max="15" width="9.140625" style="415"/>
    <col min="16" max="16" width="14.140625" style="415" customWidth="1"/>
    <col min="17" max="17" width="11" style="415" bestFit="1" customWidth="1"/>
    <col min="18" max="18" width="9.140625" style="415"/>
    <col min="19" max="19" width="7.42578125" style="415" customWidth="1"/>
    <col min="20" max="20" width="12.7109375" style="415" customWidth="1"/>
    <col min="21" max="16384" width="9.140625" style="415"/>
  </cols>
  <sheetData>
    <row r="1" spans="2:12">
      <c r="B1" s="39"/>
      <c r="C1" s="39"/>
      <c r="D1" s="39"/>
      <c r="E1" s="39"/>
      <c r="F1" s="39"/>
      <c r="G1" s="39"/>
      <c r="H1" s="39"/>
      <c r="I1" s="39"/>
      <c r="J1" s="39"/>
      <c r="K1" s="858"/>
    </row>
    <row r="2" spans="2:12">
      <c r="B2" s="414" t="s">
        <v>0</v>
      </c>
      <c r="C2" s="2"/>
      <c r="D2" s="1"/>
      <c r="E2" s="5"/>
      <c r="F2" s="6"/>
      <c r="G2" s="1"/>
      <c r="H2" s="1"/>
      <c r="I2" s="39"/>
      <c r="J2" s="292"/>
      <c r="K2" s="292"/>
    </row>
    <row r="3" spans="2:12">
      <c r="B3" s="859" t="s">
        <v>828</v>
      </c>
      <c r="C3" s="2"/>
      <c r="D3" s="1"/>
      <c r="E3" s="5"/>
      <c r="F3" s="6"/>
      <c r="G3" s="1"/>
      <c r="H3" s="1"/>
      <c r="I3" s="39"/>
      <c r="J3" s="292"/>
      <c r="K3" s="292"/>
    </row>
    <row r="4" spans="2:12">
      <c r="B4" s="850" t="s">
        <v>1</v>
      </c>
      <c r="C4" s="2"/>
      <c r="D4" s="1"/>
      <c r="E4" s="5"/>
      <c r="F4" s="6"/>
      <c r="G4" s="1"/>
      <c r="H4" s="1"/>
      <c r="I4" s="39"/>
      <c r="J4" s="292"/>
      <c r="K4" s="292"/>
    </row>
    <row r="5" spans="2:12">
      <c r="B5" s="414" t="s">
        <v>2</v>
      </c>
      <c r="C5" s="2"/>
      <c r="D5" s="1"/>
      <c r="E5" s="5"/>
      <c r="F5" s="6"/>
      <c r="G5" s="1"/>
      <c r="H5" s="1"/>
      <c r="I5" s="39"/>
      <c r="J5" s="292"/>
      <c r="K5" s="292"/>
    </row>
    <row r="6" spans="2:12">
      <c r="B6" s="850" t="s">
        <v>3</v>
      </c>
      <c r="C6" s="2"/>
      <c r="D6" s="1"/>
      <c r="E6" s="5"/>
      <c r="F6" s="6"/>
      <c r="G6" s="1"/>
      <c r="H6" s="1"/>
      <c r="I6" s="39"/>
      <c r="J6" s="292"/>
      <c r="K6" s="292"/>
    </row>
    <row r="7" spans="2:12" ht="16.5" thickBot="1">
      <c r="B7" s="1"/>
      <c r="C7" s="1"/>
      <c r="D7" s="1"/>
      <c r="E7" s="1"/>
      <c r="F7" s="1"/>
      <c r="G7" s="1"/>
      <c r="H7" s="1"/>
      <c r="I7" s="1136" t="str">
        <f>'13SumPOSPOL'!F8</f>
        <v>No. 013/RAB-Blok A-SSBP/I/2021</v>
      </c>
      <c r="J7" s="1136"/>
      <c r="K7" s="1136"/>
    </row>
    <row r="8" spans="2:12" ht="16.5" thickTop="1">
      <c r="B8" s="8"/>
      <c r="C8" s="9"/>
      <c r="D8" s="9"/>
      <c r="E8" s="9"/>
      <c r="F8" s="9"/>
      <c r="G8" s="9"/>
      <c r="H8" s="10"/>
      <c r="I8" s="836"/>
      <c r="J8" s="860" t="s">
        <v>4</v>
      </c>
      <c r="K8" s="879" t="s">
        <v>5</v>
      </c>
    </row>
    <row r="9" spans="2:12" ht="15.6" customHeight="1">
      <c r="B9" s="14" t="s">
        <v>6</v>
      </c>
      <c r="C9" s="15" t="s">
        <v>7</v>
      </c>
      <c r="D9" s="15"/>
      <c r="E9" s="15"/>
      <c r="F9" s="15"/>
      <c r="G9" s="15"/>
      <c r="H9" s="16" t="s">
        <v>8</v>
      </c>
      <c r="I9" s="837" t="s">
        <v>9</v>
      </c>
      <c r="J9" s="862" t="s">
        <v>8</v>
      </c>
      <c r="K9" s="880" t="s">
        <v>4</v>
      </c>
      <c r="L9" s="1141"/>
    </row>
    <row r="10" spans="2:12" ht="16.5" thickBot="1">
      <c r="B10" s="20"/>
      <c r="C10" s="21"/>
      <c r="D10" s="21"/>
      <c r="E10" s="21"/>
      <c r="F10" s="21"/>
      <c r="G10" s="21"/>
      <c r="H10" s="22"/>
      <c r="I10" s="838"/>
      <c r="J10" s="864" t="s">
        <v>10</v>
      </c>
      <c r="K10" s="881" t="s">
        <v>10</v>
      </c>
      <c r="L10" s="1142"/>
    </row>
    <row r="11" spans="2:12" ht="16.5" thickTop="1">
      <c r="B11" s="421"/>
      <c r="C11" s="422"/>
      <c r="D11" s="423"/>
      <c r="E11" s="423"/>
      <c r="F11" s="423"/>
      <c r="G11" s="882"/>
      <c r="I11" s="431"/>
      <c r="J11" s="432"/>
      <c r="K11" s="427"/>
      <c r="L11" s="866"/>
    </row>
    <row r="12" spans="2:12">
      <c r="B12" s="428" t="s">
        <v>339</v>
      </c>
      <c r="C12" s="429" t="s">
        <v>340</v>
      </c>
      <c r="D12" s="377"/>
      <c r="E12" s="377"/>
      <c r="F12" s="377"/>
      <c r="G12" s="435"/>
      <c r="I12" s="431"/>
      <c r="J12" s="432"/>
      <c r="K12" s="433"/>
      <c r="L12" s="867"/>
    </row>
    <row r="13" spans="2:12" ht="18">
      <c r="B13" s="421">
        <v>1</v>
      </c>
      <c r="C13" s="434" t="s">
        <v>343</v>
      </c>
      <c r="G13" s="435"/>
      <c r="H13" s="272" t="s">
        <v>344</v>
      </c>
      <c r="I13" s="436">
        <v>20</v>
      </c>
      <c r="J13" s="432">
        <v>20000</v>
      </c>
      <c r="K13" s="437">
        <f>I13*J13</f>
        <v>400000</v>
      </c>
      <c r="L13" s="842"/>
    </row>
    <row r="14" spans="2:12">
      <c r="B14" s="438"/>
      <c r="C14" s="434"/>
      <c r="G14" s="435"/>
      <c r="I14" s="436"/>
      <c r="J14" s="432"/>
      <c r="K14" s="437"/>
      <c r="L14" s="842"/>
    </row>
    <row r="15" spans="2:12">
      <c r="B15" s="421"/>
      <c r="C15" s="434"/>
      <c r="G15" s="883"/>
      <c r="I15" s="436"/>
      <c r="J15" s="439" t="s">
        <v>348</v>
      </c>
      <c r="K15" s="440">
        <f>SUM(K13:K13)</f>
        <v>400000</v>
      </c>
      <c r="L15" s="843"/>
    </row>
    <row r="16" spans="2:12">
      <c r="B16" s="428" t="s">
        <v>349</v>
      </c>
      <c r="C16" s="429" t="s">
        <v>191</v>
      </c>
      <c r="D16" s="377"/>
      <c r="E16" s="377"/>
      <c r="F16" s="377"/>
      <c r="G16" s="435"/>
      <c r="I16" s="436"/>
      <c r="J16" s="432"/>
      <c r="K16" s="437"/>
      <c r="L16" s="867"/>
    </row>
    <row r="17" spans="2:12" ht="18">
      <c r="B17" s="421">
        <v>1</v>
      </c>
      <c r="C17" s="434" t="s">
        <v>554</v>
      </c>
      <c r="G17" s="435"/>
      <c r="H17" s="272" t="s">
        <v>351</v>
      </c>
      <c r="I17" s="436">
        <f>0.6*0.6*21</f>
        <v>7.56</v>
      </c>
      <c r="J17" s="432">
        <v>150000</v>
      </c>
      <c r="K17" s="437">
        <f>I17*J17</f>
        <v>1134000</v>
      </c>
      <c r="L17" s="842"/>
    </row>
    <row r="18" spans="2:12" ht="18">
      <c r="B18" s="421">
        <f>B17+1</f>
        <v>2</v>
      </c>
      <c r="C18" s="434" t="s">
        <v>352</v>
      </c>
      <c r="G18" s="435"/>
      <c r="H18" s="272" t="s">
        <v>351</v>
      </c>
      <c r="I18" s="436">
        <f>0.05*0.6*2</f>
        <v>0.06</v>
      </c>
      <c r="J18" s="432">
        <v>310000</v>
      </c>
      <c r="K18" s="437">
        <f>I18*J18</f>
        <v>18600</v>
      </c>
      <c r="L18" s="842"/>
    </row>
    <row r="19" spans="2:12" ht="18">
      <c r="B19" s="421">
        <f>B18+1</f>
        <v>3</v>
      </c>
      <c r="C19" s="434" t="s">
        <v>211</v>
      </c>
      <c r="G19" s="435"/>
      <c r="H19" s="272" t="s">
        <v>351</v>
      </c>
      <c r="I19" s="436">
        <f>0.6*0.35*21</f>
        <v>4.41</v>
      </c>
      <c r="J19" s="432">
        <f>'[83] RAB'!G98</f>
        <v>1002000</v>
      </c>
      <c r="K19" s="437">
        <f>I19*J19</f>
        <v>4418820</v>
      </c>
      <c r="L19" s="842"/>
    </row>
    <row r="20" spans="2:12">
      <c r="B20" s="421"/>
      <c r="C20" s="434"/>
      <c r="G20" s="435"/>
      <c r="I20" s="436"/>
      <c r="J20" s="432"/>
      <c r="K20" s="437"/>
      <c r="L20" s="867"/>
    </row>
    <row r="21" spans="2:12">
      <c r="B21" s="421"/>
      <c r="C21" s="434"/>
      <c r="G21" s="883"/>
      <c r="I21" s="436"/>
      <c r="J21" s="439" t="s">
        <v>353</v>
      </c>
      <c r="K21" s="440">
        <f>SUM(K17:K20)</f>
        <v>5571420</v>
      </c>
      <c r="L21" s="843"/>
    </row>
    <row r="22" spans="2:12">
      <c r="B22" s="428" t="s">
        <v>354</v>
      </c>
      <c r="C22" s="429" t="s">
        <v>805</v>
      </c>
      <c r="D22" s="377"/>
      <c r="E22" s="377"/>
      <c r="F22" s="377"/>
      <c r="G22" s="435"/>
      <c r="I22" s="436"/>
      <c r="J22" s="432"/>
      <c r="K22" s="437"/>
      <c r="L22" s="867"/>
    </row>
    <row r="23" spans="2:12" ht="18">
      <c r="B23" s="421">
        <v>1</v>
      </c>
      <c r="C23" s="434" t="s">
        <v>784</v>
      </c>
      <c r="G23" s="435"/>
      <c r="H23" s="272" t="s">
        <v>351</v>
      </c>
      <c r="I23" s="436">
        <f>0.15*0.15*21</f>
        <v>0.47249999999999998</v>
      </c>
      <c r="J23" s="432">
        <f>'[83] RAB'!H270</f>
        <v>5154000</v>
      </c>
      <c r="K23" s="437">
        <f>I23*J23</f>
        <v>2435265</v>
      </c>
      <c r="L23" s="842"/>
    </row>
    <row r="24" spans="2:12" ht="18">
      <c r="B24" s="421">
        <v>2</v>
      </c>
      <c r="C24" s="434" t="s">
        <v>557</v>
      </c>
      <c r="G24" s="435"/>
      <c r="H24" s="272" t="s">
        <v>351</v>
      </c>
      <c r="I24" s="436">
        <f>(0.15*0.15*3)*10</f>
        <v>0.67500000000000004</v>
      </c>
      <c r="J24" s="432">
        <f>J23</f>
        <v>5154000</v>
      </c>
      <c r="K24" s="437">
        <f>I24*J24</f>
        <v>3478950</v>
      </c>
      <c r="L24" s="842"/>
    </row>
    <row r="25" spans="2:12">
      <c r="B25" s="421">
        <f>B24+1</f>
        <v>3</v>
      </c>
      <c r="C25" s="434" t="s">
        <v>558</v>
      </c>
      <c r="G25" s="435"/>
      <c r="H25" s="272" t="s">
        <v>254</v>
      </c>
      <c r="I25" s="436">
        <f>0.15*0.15*28</f>
        <v>0.63</v>
      </c>
      <c r="J25" s="432">
        <f>J24</f>
        <v>5154000</v>
      </c>
      <c r="K25" s="437">
        <f>I25*J25</f>
        <v>3247020</v>
      </c>
      <c r="L25" s="842"/>
    </row>
    <row r="26" spans="2:12">
      <c r="B26" s="438"/>
      <c r="C26" s="434"/>
      <c r="G26" s="435"/>
      <c r="I26" s="444"/>
      <c r="J26" s="432"/>
      <c r="K26" s="437"/>
      <c r="L26" s="842"/>
    </row>
    <row r="27" spans="2:12">
      <c r="B27" s="421"/>
      <c r="C27" s="434"/>
      <c r="G27" s="883"/>
      <c r="I27" s="444"/>
      <c r="J27" s="439" t="s">
        <v>358</v>
      </c>
      <c r="K27" s="440">
        <f>SUM(K23:K26)</f>
        <v>9161235</v>
      </c>
      <c r="L27" s="843"/>
    </row>
    <row r="28" spans="2:12">
      <c r="B28" s="428" t="s">
        <v>359</v>
      </c>
      <c r="C28" s="429" t="s">
        <v>360</v>
      </c>
      <c r="D28" s="377"/>
      <c r="E28" s="377"/>
      <c r="F28" s="377"/>
      <c r="G28" s="435"/>
      <c r="I28" s="444"/>
      <c r="J28" s="432"/>
      <c r="K28" s="437"/>
      <c r="L28" s="867"/>
    </row>
    <row r="29" spans="2:12" ht="18">
      <c r="B29" s="421">
        <v>1</v>
      </c>
      <c r="C29" s="434" t="s">
        <v>593</v>
      </c>
      <c r="G29" s="884"/>
      <c r="H29" s="272" t="s">
        <v>342</v>
      </c>
      <c r="I29" s="445">
        <f>75-3.8-1.9-2</f>
        <v>67.3</v>
      </c>
      <c r="J29" s="446">
        <v>137000</v>
      </c>
      <c r="K29" s="437">
        <f>I29*J29</f>
        <v>9220100</v>
      </c>
      <c r="L29" s="842"/>
    </row>
    <row r="30" spans="2:12" ht="18">
      <c r="B30" s="421">
        <f>B29+1</f>
        <v>2</v>
      </c>
      <c r="C30" s="434" t="s">
        <v>829</v>
      </c>
      <c r="G30" s="884"/>
      <c r="H30" s="272" t="s">
        <v>342</v>
      </c>
      <c r="I30" s="445">
        <v>24</v>
      </c>
      <c r="J30" s="446">
        <v>250000</v>
      </c>
      <c r="K30" s="437">
        <f>I30*J30</f>
        <v>6000000</v>
      </c>
      <c r="L30" s="842"/>
    </row>
    <row r="31" spans="2:12">
      <c r="B31" s="421"/>
      <c r="C31" s="434"/>
      <c r="G31" s="884"/>
      <c r="I31" s="828"/>
      <c r="J31" s="446"/>
      <c r="K31" s="437"/>
      <c r="L31" s="842"/>
    </row>
    <row r="32" spans="2:12">
      <c r="B32" s="421"/>
      <c r="C32" s="434"/>
      <c r="G32" s="884"/>
      <c r="I32" s="444"/>
      <c r="J32" s="439" t="s">
        <v>361</v>
      </c>
      <c r="K32" s="440">
        <f>SUM(K29:K31)</f>
        <v>15220100</v>
      </c>
      <c r="L32" s="843"/>
    </row>
    <row r="33" spans="2:16">
      <c r="B33" s="428" t="s">
        <v>362</v>
      </c>
      <c r="C33" s="429" t="s">
        <v>363</v>
      </c>
      <c r="D33" s="377"/>
      <c r="E33" s="377"/>
      <c r="F33" s="377"/>
      <c r="G33" s="435"/>
      <c r="I33" s="444"/>
      <c r="J33" s="432"/>
      <c r="K33" s="437"/>
      <c r="L33" s="867"/>
    </row>
    <row r="34" spans="2:16" ht="18">
      <c r="B34" s="421">
        <v>1</v>
      </c>
      <c r="C34" s="434" t="s">
        <v>364</v>
      </c>
      <c r="G34" s="435"/>
      <c r="H34" s="272" t="s">
        <v>342</v>
      </c>
      <c r="I34" s="447">
        <f>I29*2</f>
        <v>134.6</v>
      </c>
      <c r="J34" s="432">
        <v>120000</v>
      </c>
      <c r="K34" s="437">
        <f>I34*J34</f>
        <v>16152000</v>
      </c>
      <c r="L34" s="842"/>
    </row>
    <row r="35" spans="2:16" ht="18">
      <c r="B35" s="421">
        <f>B34+1</f>
        <v>2</v>
      </c>
      <c r="C35" s="434" t="s">
        <v>284</v>
      </c>
      <c r="G35" s="435"/>
      <c r="H35" s="272" t="s">
        <v>342</v>
      </c>
      <c r="I35" s="436">
        <v>12</v>
      </c>
      <c r="J35" s="432">
        <v>145000</v>
      </c>
      <c r="K35" s="437">
        <f>I35*J35</f>
        <v>1740000</v>
      </c>
      <c r="L35" s="842"/>
    </row>
    <row r="36" spans="2:16">
      <c r="B36" s="671"/>
      <c r="C36" s="434"/>
      <c r="G36" s="435"/>
      <c r="I36" s="444"/>
      <c r="J36" s="432"/>
      <c r="K36" s="437"/>
      <c r="L36" s="842"/>
    </row>
    <row r="37" spans="2:16">
      <c r="B37" s="421"/>
      <c r="C37" s="434"/>
      <c r="G37" s="884"/>
      <c r="I37" s="444"/>
      <c r="J37" s="439" t="s">
        <v>361</v>
      </c>
      <c r="K37" s="440">
        <f>SUM(K34:K35)</f>
        <v>17892000</v>
      </c>
      <c r="L37" s="843"/>
      <c r="P37" s="448"/>
    </row>
    <row r="38" spans="2:16">
      <c r="B38" s="449" t="s">
        <v>366</v>
      </c>
      <c r="C38" s="429" t="s">
        <v>288</v>
      </c>
      <c r="D38" s="377"/>
      <c r="E38" s="377"/>
      <c r="F38" s="377"/>
      <c r="G38" s="435"/>
      <c r="I38" s="444"/>
      <c r="J38" s="432"/>
      <c r="K38" s="437"/>
      <c r="L38" s="867"/>
    </row>
    <row r="39" spans="2:16" ht="18">
      <c r="B39" s="421">
        <v>1</v>
      </c>
      <c r="C39" s="434" t="s">
        <v>562</v>
      </c>
      <c r="G39" s="435"/>
      <c r="H39" s="272" t="s">
        <v>342</v>
      </c>
      <c r="I39" s="436">
        <v>50</v>
      </c>
      <c r="J39" s="432">
        <v>175000</v>
      </c>
      <c r="K39" s="437">
        <f>I39*J39</f>
        <v>8750000</v>
      </c>
      <c r="L39" s="842"/>
    </row>
    <row r="40" spans="2:16" ht="18">
      <c r="B40" s="421">
        <f>B39+1</f>
        <v>2</v>
      </c>
      <c r="C40" s="434" t="s">
        <v>782</v>
      </c>
      <c r="G40" s="435"/>
      <c r="H40" s="272" t="s">
        <v>342</v>
      </c>
      <c r="I40" s="436">
        <f>I39</f>
        <v>50</v>
      </c>
      <c r="J40" s="432">
        <v>360000</v>
      </c>
      <c r="K40" s="437">
        <f>I40*J40</f>
        <v>18000000</v>
      </c>
      <c r="L40" s="842"/>
    </row>
    <row r="41" spans="2:16">
      <c r="B41" s="421"/>
      <c r="C41" s="434"/>
      <c r="G41" s="435"/>
      <c r="I41" s="436"/>
      <c r="J41" s="432"/>
      <c r="K41" s="437"/>
      <c r="L41" s="842"/>
    </row>
    <row r="42" spans="2:16">
      <c r="B42" s="421"/>
      <c r="C42" s="434"/>
      <c r="G42" s="884"/>
      <c r="I42" s="444"/>
      <c r="J42" s="439" t="s">
        <v>368</v>
      </c>
      <c r="K42" s="440">
        <f>SUM(K39:K41)</f>
        <v>26750000</v>
      </c>
      <c r="L42" s="843"/>
    </row>
    <row r="43" spans="2:16">
      <c r="B43" s="428" t="s">
        <v>369</v>
      </c>
      <c r="C43" s="429" t="s">
        <v>499</v>
      </c>
      <c r="D43" s="377"/>
      <c r="E43" s="377"/>
      <c r="F43" s="377"/>
      <c r="G43" s="435"/>
      <c r="I43" s="444"/>
      <c r="J43" s="432"/>
      <c r="K43" s="437"/>
      <c r="L43" s="867"/>
    </row>
    <row r="44" spans="2:16" ht="18">
      <c r="B44" s="438">
        <v>1</v>
      </c>
      <c r="C44" s="434" t="s">
        <v>35</v>
      </c>
      <c r="G44" s="435"/>
      <c r="H44" s="272" t="s">
        <v>342</v>
      </c>
      <c r="I44" s="436">
        <f>I40</f>
        <v>50</v>
      </c>
      <c r="J44" s="432">
        <v>130000</v>
      </c>
      <c r="K44" s="437">
        <f>I44*J44</f>
        <v>6500000</v>
      </c>
      <c r="L44" s="842"/>
    </row>
    <row r="45" spans="2:16">
      <c r="B45" s="438"/>
      <c r="C45" s="434"/>
      <c r="G45" s="435"/>
      <c r="I45" s="436"/>
      <c r="J45" s="432"/>
      <c r="K45" s="437"/>
      <c r="L45" s="842"/>
    </row>
    <row r="46" spans="2:16">
      <c r="B46" s="421"/>
      <c r="C46" s="434"/>
      <c r="G46" s="884"/>
      <c r="I46" s="444"/>
      <c r="J46" s="439" t="s">
        <v>371</v>
      </c>
      <c r="K46" s="440">
        <f>SUM(K44:K44)</f>
        <v>6500000</v>
      </c>
      <c r="L46" s="843"/>
    </row>
    <row r="47" spans="2:16">
      <c r="B47" s="449" t="s">
        <v>372</v>
      </c>
      <c r="C47" s="429" t="s">
        <v>373</v>
      </c>
      <c r="D47" s="377"/>
      <c r="E47" s="377"/>
      <c r="F47" s="377"/>
      <c r="G47" s="435"/>
      <c r="I47" s="444"/>
      <c r="J47" s="432"/>
      <c r="K47" s="437"/>
      <c r="L47" s="867"/>
    </row>
    <row r="48" spans="2:16" ht="18">
      <c r="B48" s="421">
        <v>1</v>
      </c>
      <c r="C48" s="434" t="s">
        <v>374</v>
      </c>
      <c r="G48" s="435"/>
      <c r="H48" s="272" t="s">
        <v>342</v>
      </c>
      <c r="I48" s="436">
        <v>15</v>
      </c>
      <c r="J48" s="432">
        <v>10000</v>
      </c>
      <c r="K48" s="437">
        <f>I48*J48</f>
        <v>150000</v>
      </c>
      <c r="L48" s="842"/>
    </row>
    <row r="49" spans="1:12" ht="18">
      <c r="B49" s="421">
        <v>2</v>
      </c>
      <c r="C49" s="434" t="s">
        <v>375</v>
      </c>
      <c r="G49" s="435"/>
      <c r="H49" s="272" t="s">
        <v>351</v>
      </c>
      <c r="I49" s="436">
        <f>I48*0.03</f>
        <v>0.44999999999999996</v>
      </c>
      <c r="J49" s="432">
        <f>J18</f>
        <v>310000</v>
      </c>
      <c r="K49" s="437">
        <f>I49*J49</f>
        <v>139500</v>
      </c>
      <c r="L49" s="842"/>
    </row>
    <row r="50" spans="1:12" ht="18">
      <c r="B50" s="438">
        <v>3</v>
      </c>
      <c r="C50" s="450" t="s">
        <v>569</v>
      </c>
      <c r="D50" s="451"/>
      <c r="E50" s="451"/>
      <c r="F50" s="451"/>
      <c r="G50" s="435"/>
      <c r="H50" s="272" t="s">
        <v>351</v>
      </c>
      <c r="I50" s="436">
        <f>I48*0.03</f>
        <v>0.44999999999999996</v>
      </c>
      <c r="J50" s="432">
        <v>600000</v>
      </c>
      <c r="K50" s="437">
        <f>I50*J50</f>
        <v>270000</v>
      </c>
      <c r="L50" s="842"/>
    </row>
    <row r="51" spans="1:12">
      <c r="B51" s="421">
        <v>4</v>
      </c>
      <c r="C51" s="434" t="s">
        <v>567</v>
      </c>
      <c r="G51" s="435"/>
      <c r="I51" s="444"/>
      <c r="J51" s="432"/>
      <c r="K51" s="437"/>
      <c r="L51" s="867"/>
    </row>
    <row r="52" spans="1:12" ht="18">
      <c r="B52" s="421"/>
      <c r="C52" s="434" t="s">
        <v>823</v>
      </c>
      <c r="G52" s="435"/>
      <c r="H52" s="272" t="s">
        <v>342</v>
      </c>
      <c r="I52" s="436">
        <v>4</v>
      </c>
      <c r="J52" s="432">
        <v>142000</v>
      </c>
      <c r="K52" s="437">
        <f>I52*J52</f>
        <v>568000</v>
      </c>
      <c r="L52" s="842"/>
    </row>
    <row r="53" spans="1:12" ht="18">
      <c r="B53" s="421"/>
      <c r="C53" s="434" t="s">
        <v>830</v>
      </c>
      <c r="G53" s="435"/>
      <c r="H53" s="272" t="s">
        <v>342</v>
      </c>
      <c r="I53" s="436">
        <v>40</v>
      </c>
      <c r="J53" s="432">
        <v>121000</v>
      </c>
      <c r="K53" s="437">
        <f>I53*J53</f>
        <v>4840000</v>
      </c>
      <c r="L53" s="842"/>
    </row>
    <row r="54" spans="1:12" ht="18">
      <c r="B54" s="421"/>
      <c r="C54" s="434" t="s">
        <v>815</v>
      </c>
      <c r="G54" s="435"/>
      <c r="H54" s="272" t="s">
        <v>342</v>
      </c>
      <c r="I54" s="436">
        <v>8</v>
      </c>
      <c r="J54" s="432">
        <v>121000</v>
      </c>
      <c r="K54" s="437">
        <f>I54*J54</f>
        <v>968000</v>
      </c>
      <c r="L54" s="842"/>
    </row>
    <row r="55" spans="1:12">
      <c r="A55" s="885"/>
      <c r="B55" s="421"/>
      <c r="C55" s="434"/>
      <c r="G55" s="435"/>
      <c r="I55" s="444"/>
      <c r="J55" s="432"/>
      <c r="K55" s="437"/>
      <c r="L55" s="842"/>
    </row>
    <row r="56" spans="1:12">
      <c r="B56" s="421"/>
      <c r="C56" s="434"/>
      <c r="G56" s="884"/>
      <c r="I56" s="444"/>
      <c r="J56" s="439" t="s">
        <v>377</v>
      </c>
      <c r="K56" s="440">
        <f>SUM(K48:K55)</f>
        <v>6935500</v>
      </c>
      <c r="L56" s="843"/>
    </row>
    <row r="57" spans="1:12">
      <c r="A57" s="451"/>
      <c r="B57" s="428" t="s">
        <v>378</v>
      </c>
      <c r="C57" s="429" t="s">
        <v>807</v>
      </c>
      <c r="D57" s="377"/>
      <c r="E57" s="377"/>
      <c r="F57" s="377"/>
      <c r="G57" s="435"/>
      <c r="I57" s="444"/>
      <c r="J57" s="432"/>
      <c r="K57" s="437"/>
      <c r="L57" s="867"/>
    </row>
    <row r="58" spans="1:12">
      <c r="B58" s="421">
        <v>1</v>
      </c>
      <c r="C58" s="434" t="s">
        <v>571</v>
      </c>
      <c r="G58" s="435"/>
      <c r="H58" s="272" t="s">
        <v>380</v>
      </c>
      <c r="I58" s="436">
        <v>2</v>
      </c>
      <c r="J58" s="432">
        <f>3360000/2</f>
        <v>1680000</v>
      </c>
      <c r="K58" s="437">
        <f>I58*J58</f>
        <v>3360000</v>
      </c>
      <c r="L58" s="842"/>
    </row>
    <row r="59" spans="1:12">
      <c r="B59" s="421">
        <f>B58+1</f>
        <v>2</v>
      </c>
      <c r="C59" s="434" t="s">
        <v>831</v>
      </c>
      <c r="G59" s="435"/>
      <c r="H59" s="272" t="s">
        <v>380</v>
      </c>
      <c r="I59" s="436">
        <v>1</v>
      </c>
      <c r="J59" s="432">
        <v>1500000</v>
      </c>
      <c r="K59" s="437">
        <f>I59*J59</f>
        <v>1500000</v>
      </c>
      <c r="L59" s="842"/>
    </row>
    <row r="60" spans="1:12">
      <c r="B60" s="421">
        <f>B59+1</f>
        <v>3</v>
      </c>
      <c r="C60" s="434" t="s">
        <v>381</v>
      </c>
      <c r="G60" s="435"/>
      <c r="H60" s="272" t="s">
        <v>32</v>
      </c>
      <c r="I60" s="436">
        <v>1</v>
      </c>
      <c r="J60" s="432">
        <v>2500000</v>
      </c>
      <c r="K60" s="437">
        <f>I60*J60</f>
        <v>2500000</v>
      </c>
      <c r="L60" s="842"/>
    </row>
    <row r="61" spans="1:12">
      <c r="A61" s="451"/>
      <c r="B61" s="421">
        <f>B60+1</f>
        <v>4</v>
      </c>
      <c r="C61" s="434" t="s">
        <v>382</v>
      </c>
      <c r="G61" s="435"/>
      <c r="H61" s="272" t="s">
        <v>32</v>
      </c>
      <c r="I61" s="436">
        <v>1</v>
      </c>
      <c r="J61" s="432">
        <v>2800000</v>
      </c>
      <c r="K61" s="437">
        <f>I61*J61</f>
        <v>2800000</v>
      </c>
      <c r="L61" s="842"/>
    </row>
    <row r="62" spans="1:12">
      <c r="B62" s="421"/>
      <c r="C62" s="434"/>
      <c r="G62" s="435"/>
      <c r="I62" s="444"/>
      <c r="J62" s="432"/>
      <c r="K62" s="437"/>
      <c r="L62" s="842"/>
    </row>
    <row r="63" spans="1:12">
      <c r="B63" s="421"/>
      <c r="C63" s="434"/>
      <c r="G63" s="884"/>
      <c r="I63" s="444"/>
      <c r="J63" s="439" t="s">
        <v>383</v>
      </c>
      <c r="K63" s="440">
        <f>SUM(K58:K61)</f>
        <v>10160000</v>
      </c>
      <c r="L63" s="843"/>
    </row>
    <row r="64" spans="1:12">
      <c r="B64" s="428" t="s">
        <v>384</v>
      </c>
      <c r="C64" s="429" t="s">
        <v>385</v>
      </c>
      <c r="D64" s="377"/>
      <c r="E64" s="377"/>
      <c r="F64" s="377"/>
      <c r="G64" s="435"/>
      <c r="I64" s="444"/>
      <c r="J64" s="432"/>
      <c r="K64" s="437"/>
      <c r="L64" s="867"/>
    </row>
    <row r="65" spans="1:20" ht="18">
      <c r="B65" s="421">
        <v>1</v>
      </c>
      <c r="C65" s="434" t="s">
        <v>386</v>
      </c>
      <c r="G65" s="435"/>
      <c r="H65" s="272" t="s">
        <v>342</v>
      </c>
      <c r="I65" s="436">
        <f>I34</f>
        <v>134.6</v>
      </c>
      <c r="J65" s="432">
        <v>38000</v>
      </c>
      <c r="K65" s="437">
        <f>I65*J65</f>
        <v>5114800</v>
      </c>
      <c r="L65" s="842"/>
    </row>
    <row r="66" spans="1:20">
      <c r="B66" s="421"/>
      <c r="C66" s="434"/>
      <c r="G66" s="435"/>
      <c r="I66" s="444"/>
      <c r="J66" s="432"/>
      <c r="K66" s="437"/>
      <c r="L66" s="842"/>
    </row>
    <row r="67" spans="1:20">
      <c r="B67" s="421"/>
      <c r="C67" s="434"/>
      <c r="G67" s="884"/>
      <c r="I67" s="444"/>
      <c r="J67" s="439" t="s">
        <v>388</v>
      </c>
      <c r="K67" s="440">
        <f>SUM(K65:K66)</f>
        <v>5114800</v>
      </c>
      <c r="L67" s="843"/>
      <c r="M67" s="448"/>
      <c r="N67" s="448"/>
      <c r="Q67" s="448"/>
    </row>
    <row r="68" spans="1:20">
      <c r="A68" s="451"/>
      <c r="B68" s="428" t="s">
        <v>389</v>
      </c>
      <c r="C68" s="429" t="s">
        <v>390</v>
      </c>
      <c r="D68" s="377"/>
      <c r="E68" s="377"/>
      <c r="F68" s="377"/>
      <c r="G68" s="435"/>
      <c r="I68" s="444"/>
      <c r="J68" s="432"/>
      <c r="K68" s="437"/>
      <c r="L68" s="867"/>
    </row>
    <row r="69" spans="1:20">
      <c r="B69" s="421"/>
      <c r="C69" s="434" t="s">
        <v>989</v>
      </c>
      <c r="G69" s="435"/>
      <c r="I69" s="436"/>
      <c r="J69" s="432"/>
      <c r="K69" s="437"/>
      <c r="L69" s="842"/>
      <c r="M69" s="434"/>
      <c r="Q69" s="435"/>
      <c r="R69" s="272"/>
      <c r="S69" s="453"/>
      <c r="T69" s="432"/>
    </row>
    <row r="70" spans="1:20">
      <c r="B70" s="421"/>
      <c r="C70" s="434"/>
      <c r="G70" s="435"/>
      <c r="I70" s="436"/>
      <c r="J70" s="432"/>
      <c r="K70" s="437"/>
      <c r="L70" s="842"/>
      <c r="M70" s="434"/>
      <c r="Q70" s="435"/>
      <c r="R70" s="272"/>
      <c r="S70" s="453"/>
      <c r="T70" s="432"/>
    </row>
    <row r="71" spans="1:20">
      <c r="B71" s="421"/>
      <c r="C71" s="434"/>
      <c r="G71" s="435"/>
      <c r="I71" s="436"/>
      <c r="J71" s="432"/>
      <c r="K71" s="437"/>
      <c r="L71" s="842"/>
      <c r="M71" s="434"/>
      <c r="Q71" s="435"/>
      <c r="R71" s="272"/>
      <c r="S71" s="453"/>
      <c r="T71" s="432"/>
    </row>
    <row r="72" spans="1:20">
      <c r="B72" s="421"/>
      <c r="C72" s="434"/>
      <c r="G72" s="435"/>
      <c r="I72" s="444"/>
      <c r="J72" s="432"/>
      <c r="K72" s="437"/>
      <c r="L72" s="842"/>
    </row>
    <row r="73" spans="1:20">
      <c r="B73" s="421"/>
      <c r="C73" s="434"/>
      <c r="G73" s="884"/>
      <c r="I73" s="444"/>
      <c r="J73" s="439" t="s">
        <v>394</v>
      </c>
      <c r="K73" s="440">
        <f>SUM(K69:K72)</f>
        <v>0</v>
      </c>
      <c r="L73" s="843"/>
    </row>
    <row r="74" spans="1:20">
      <c r="B74" s="428" t="s">
        <v>395</v>
      </c>
      <c r="C74" s="429" t="s">
        <v>396</v>
      </c>
      <c r="D74" s="377"/>
      <c r="E74" s="377"/>
      <c r="F74" s="377"/>
      <c r="G74" s="435"/>
      <c r="I74" s="444"/>
      <c r="J74" s="432"/>
      <c r="K74" s="437"/>
      <c r="L74" s="867"/>
    </row>
    <row r="75" spans="1:20">
      <c r="B75" s="421"/>
      <c r="C75" s="434" t="s">
        <v>985</v>
      </c>
      <c r="G75" s="435"/>
      <c r="I75" s="436"/>
      <c r="J75" s="432"/>
      <c r="K75" s="437"/>
      <c r="L75" s="842"/>
    </row>
    <row r="76" spans="1:20">
      <c r="B76" s="421"/>
      <c r="C76" s="434"/>
      <c r="G76" s="435"/>
      <c r="I76" s="436"/>
      <c r="J76" s="432"/>
      <c r="K76" s="437"/>
      <c r="L76" s="842"/>
    </row>
    <row r="77" spans="1:20">
      <c r="B77" s="421"/>
      <c r="C77" s="434"/>
      <c r="G77" s="435"/>
      <c r="I77" s="436"/>
      <c r="J77" s="432"/>
      <c r="K77" s="437"/>
      <c r="L77" s="842"/>
    </row>
    <row r="78" spans="1:20">
      <c r="B78" s="421"/>
      <c r="C78" s="434" t="s">
        <v>652</v>
      </c>
      <c r="G78" s="884"/>
      <c r="I78" s="829"/>
      <c r="J78" s="439" t="s">
        <v>500</v>
      </c>
      <c r="K78" s="440">
        <f>SUM(K75:K77)</f>
        <v>0</v>
      </c>
      <c r="L78" s="843"/>
    </row>
    <row r="79" spans="1:20">
      <c r="B79" s="428" t="s">
        <v>404</v>
      </c>
      <c r="C79" s="429" t="s">
        <v>650</v>
      </c>
      <c r="D79" s="377"/>
      <c r="E79" s="377"/>
      <c r="F79" s="377"/>
      <c r="G79" s="435"/>
      <c r="I79" s="444"/>
      <c r="J79" s="432"/>
      <c r="K79" s="437"/>
      <c r="L79" s="867"/>
    </row>
    <row r="80" spans="1:20">
      <c r="B80" s="421">
        <v>1</v>
      </c>
      <c r="C80" s="434" t="s">
        <v>586</v>
      </c>
      <c r="G80" s="435"/>
      <c r="H80" s="272" t="s">
        <v>380</v>
      </c>
      <c r="I80" s="436">
        <v>1</v>
      </c>
      <c r="J80" s="432">
        <v>500000</v>
      </c>
      <c r="K80" s="437">
        <f>I80*J80</f>
        <v>500000</v>
      </c>
      <c r="L80" s="842"/>
    </row>
    <row r="81" spans="2:12">
      <c r="B81" s="421">
        <f>B80+1</f>
        <v>2</v>
      </c>
      <c r="C81" s="434" t="s">
        <v>408</v>
      </c>
      <c r="G81" s="435"/>
      <c r="H81" s="272" t="s">
        <v>380</v>
      </c>
      <c r="I81" s="436">
        <v>2</v>
      </c>
      <c r="J81" s="432">
        <v>150000</v>
      </c>
      <c r="K81" s="437">
        <f>I81*J81</f>
        <v>300000</v>
      </c>
      <c r="L81" s="842"/>
    </row>
    <row r="82" spans="2:12">
      <c r="B82" s="421">
        <f>B81+1</f>
        <v>3</v>
      </c>
      <c r="C82" s="434" t="s">
        <v>409</v>
      </c>
      <c r="G82" s="435"/>
      <c r="H82" s="272" t="s">
        <v>380</v>
      </c>
      <c r="I82" s="436">
        <v>1</v>
      </c>
      <c r="J82" s="432">
        <v>150000</v>
      </c>
      <c r="K82" s="437">
        <f>I82*J82</f>
        <v>150000</v>
      </c>
      <c r="L82" s="842"/>
    </row>
    <row r="83" spans="2:12">
      <c r="B83" s="421"/>
      <c r="C83" s="434"/>
      <c r="G83" s="435"/>
      <c r="I83" s="436"/>
      <c r="J83" s="432"/>
      <c r="K83" s="437"/>
      <c r="L83" s="842"/>
    </row>
    <row r="84" spans="2:12">
      <c r="B84" s="421"/>
      <c r="C84" s="434"/>
      <c r="G84" s="884"/>
      <c r="I84" s="436"/>
      <c r="J84" s="439" t="s">
        <v>500</v>
      </c>
      <c r="K84" s="440">
        <f>SUM(K80:K82)</f>
        <v>950000</v>
      </c>
      <c r="L84" s="843"/>
    </row>
    <row r="85" spans="2:12">
      <c r="B85" s="421"/>
      <c r="C85" s="434"/>
      <c r="G85" s="884"/>
      <c r="I85" s="436"/>
      <c r="J85" s="432"/>
      <c r="K85" s="440"/>
      <c r="L85" s="843"/>
    </row>
    <row r="86" spans="2:12" ht="16.5" thickBot="1">
      <c r="B86" s="459"/>
      <c r="C86" s="460"/>
      <c r="D86" s="461"/>
      <c r="E86" s="461"/>
      <c r="F86" s="461"/>
      <c r="G86" s="886"/>
      <c r="H86" s="463"/>
      <c r="I86" s="464"/>
      <c r="J86" s="465"/>
      <c r="K86" s="466"/>
      <c r="L86" s="843"/>
    </row>
    <row r="87" spans="2:12">
      <c r="B87" s="421"/>
      <c r="C87" s="434"/>
      <c r="G87" s="884"/>
      <c r="I87" s="436"/>
      <c r="J87" s="432"/>
      <c r="K87" s="440"/>
      <c r="L87" s="843"/>
    </row>
    <row r="88" spans="2:12">
      <c r="B88" s="421"/>
      <c r="C88" s="434"/>
      <c r="G88" s="887"/>
      <c r="I88" s="436"/>
      <c r="J88" s="432"/>
      <c r="K88" s="467">
        <f>SUM(K13:K84)/2</f>
        <v>104655055</v>
      </c>
      <c r="L88" s="848"/>
    </row>
    <row r="89" spans="2:12" ht="16.5" thickBot="1">
      <c r="B89" s="468"/>
      <c r="C89" s="469"/>
      <c r="D89" s="470"/>
      <c r="E89" s="470"/>
      <c r="F89" s="470"/>
      <c r="G89" s="471"/>
      <c r="H89" s="472"/>
      <c r="I89" s="473"/>
      <c r="J89" s="474"/>
      <c r="K89" s="475"/>
      <c r="L89" s="867"/>
    </row>
    <row r="90" spans="2:12" ht="16.5" thickTop="1">
      <c r="I90" s="476"/>
      <c r="J90" s="477"/>
      <c r="K90" s="479"/>
      <c r="L90" s="867"/>
    </row>
    <row r="91" spans="2:12">
      <c r="I91" s="476"/>
      <c r="J91" s="477"/>
      <c r="K91" s="478"/>
      <c r="L91" s="867"/>
    </row>
    <row r="92" spans="2:12">
      <c r="I92" s="476"/>
      <c r="J92" s="477"/>
      <c r="K92" s="479"/>
      <c r="L92" s="867"/>
    </row>
    <row r="93" spans="2:12">
      <c r="I93" s="476"/>
      <c r="J93" s="477"/>
      <c r="K93" s="478"/>
      <c r="L93" s="867"/>
    </row>
    <row r="94" spans="2:12">
      <c r="I94" s="476"/>
      <c r="J94" s="477"/>
      <c r="K94" s="479"/>
      <c r="L94" s="867"/>
    </row>
    <row r="95" spans="2:12">
      <c r="I95" s="476"/>
      <c r="J95" s="477"/>
      <c r="K95" s="479"/>
      <c r="L95" s="867"/>
    </row>
    <row r="96" spans="2:12">
      <c r="I96" s="476"/>
      <c r="J96" s="477"/>
      <c r="K96" s="479"/>
      <c r="L96" s="867"/>
    </row>
    <row r="97" spans="8:12">
      <c r="I97" s="476"/>
      <c r="J97" s="477"/>
      <c r="K97" s="479"/>
      <c r="L97" s="867"/>
    </row>
    <row r="98" spans="8:12">
      <c r="I98" s="476"/>
      <c r="J98" s="477"/>
      <c r="K98" s="479"/>
      <c r="L98" s="867"/>
    </row>
    <row r="99" spans="8:12">
      <c r="I99" s="476"/>
      <c r="J99" s="477"/>
      <c r="K99" s="479"/>
      <c r="L99" s="867"/>
    </row>
    <row r="100" spans="8:12">
      <c r="I100" s="476"/>
      <c r="J100" s="477"/>
      <c r="K100" s="479"/>
      <c r="L100" s="867"/>
    </row>
    <row r="101" spans="8:12">
      <c r="I101" s="476"/>
      <c r="J101" s="477"/>
      <c r="K101" s="479"/>
      <c r="L101" s="867"/>
    </row>
    <row r="102" spans="8:12">
      <c r="I102" s="476"/>
      <c r="J102" s="477"/>
      <c r="K102" s="479"/>
      <c r="L102" s="867"/>
    </row>
    <row r="104" spans="8:12">
      <c r="H104" s="417"/>
      <c r="K104" s="480"/>
    </row>
    <row r="105" spans="8:12">
      <c r="H105" s="417"/>
      <c r="K105" s="448"/>
    </row>
    <row r="106" spans="8:12">
      <c r="K106" s="481"/>
    </row>
    <row r="107" spans="8:12">
      <c r="H107" s="417"/>
    </row>
    <row r="112" spans="8:12">
      <c r="H112" s="482"/>
    </row>
  </sheetData>
  <mergeCells count="2">
    <mergeCell ref="I7:K7"/>
    <mergeCell ref="L9:L10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251651-BE9B-406E-9518-166137602BAF}">
  <sheetPr>
    <tabColor rgb="FFFFFF00"/>
    <pageSetUpPr fitToPage="1"/>
  </sheetPr>
  <dimension ref="A2:L34"/>
  <sheetViews>
    <sheetView workbookViewId="0">
      <selection activeCell="R35" sqref="R35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962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970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Pusat Keamanan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">
        <v>340</v>
      </c>
      <c r="D14" s="58"/>
      <c r="E14" s="58"/>
      <c r="F14" s="58"/>
      <c r="G14" s="58"/>
      <c r="H14" s="483">
        <f>BQPustKeamanan!K17</f>
        <v>900000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">
        <v>191</v>
      </c>
      <c r="D15" s="58"/>
      <c r="E15" s="58"/>
      <c r="F15" s="58"/>
      <c r="G15" s="58"/>
      <c r="H15" s="483">
        <f>BQPustKeamanan!K23</f>
        <v>11283720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">
        <v>355</v>
      </c>
      <c r="D16" s="58"/>
      <c r="E16" s="58"/>
      <c r="F16" s="58"/>
      <c r="G16" s="58"/>
      <c r="H16" s="483">
        <f>BQPustKeamanan!K29</f>
        <v>15681750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">
        <v>360</v>
      </c>
      <c r="D17" s="58"/>
      <c r="E17" s="58"/>
      <c r="F17" s="58"/>
      <c r="G17" s="58"/>
      <c r="H17" s="483">
        <f>BQPustKeamanan!K34</f>
        <v>17669200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">
        <v>363</v>
      </c>
      <c r="D18" s="58"/>
      <c r="E18" s="58"/>
      <c r="F18" s="58"/>
      <c r="G18" s="58"/>
      <c r="H18" s="483">
        <f>BQPustKeamanan!K39</f>
        <v>22952499.999999996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">
        <v>288</v>
      </c>
      <c r="D19" s="58"/>
      <c r="E19" s="58"/>
      <c r="F19" s="58"/>
      <c r="G19" s="58"/>
      <c r="H19" s="483">
        <f>BQPustKeamanan!K45</f>
        <v>43800000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">
        <v>370</v>
      </c>
      <c r="D20" s="58"/>
      <c r="E20" s="58"/>
      <c r="F20" s="58"/>
      <c r="G20" s="58"/>
      <c r="H20" s="483">
        <f>BQPustKeamanan!K49</f>
        <v>10000000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">
        <v>373</v>
      </c>
      <c r="D21" s="58"/>
      <c r="E21" s="58"/>
      <c r="F21" s="58"/>
      <c r="G21" s="58"/>
      <c r="H21" s="483">
        <f>BQPustKeamanan!K59</f>
        <v>11992000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">
        <v>807</v>
      </c>
      <c r="D22" s="58"/>
      <c r="E22" s="58"/>
      <c r="F22" s="58"/>
      <c r="G22" s="58"/>
      <c r="H22" s="483">
        <f>BQPustKeamanan!K66</f>
        <v>20700000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">
        <v>385</v>
      </c>
      <c r="D23" s="58"/>
      <c r="E23" s="58"/>
      <c r="F23" s="58"/>
      <c r="G23" s="58"/>
      <c r="H23" s="483">
        <f>BQPustKeamanan!K71</f>
        <v>7554399.9999999991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">
        <v>390</v>
      </c>
      <c r="D24" s="58"/>
      <c r="E24" s="58"/>
      <c r="F24" s="58"/>
      <c r="G24" s="58"/>
      <c r="H24" s="483">
        <f>BQPustKeamanan!K77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">
        <v>396</v>
      </c>
      <c r="D25" s="58"/>
      <c r="E25" s="58"/>
      <c r="F25" s="58"/>
      <c r="G25" s="58"/>
      <c r="H25" s="483">
        <f>BQPustKeamanan!K86</f>
        <v>6980000</v>
      </c>
      <c r="I25" s="39"/>
      <c r="J25" s="39"/>
      <c r="K25" s="39"/>
      <c r="L25" s="39"/>
    </row>
    <row r="26" spans="1:12" s="60" customFormat="1">
      <c r="A26" s="39"/>
      <c r="B26" s="55" t="s">
        <v>37</v>
      </c>
      <c r="C26" s="56" t="s">
        <v>405</v>
      </c>
      <c r="D26" s="58"/>
      <c r="E26" s="58"/>
      <c r="F26" s="58"/>
      <c r="G26" s="58"/>
      <c r="H26" s="483">
        <f>BQPustKeamanan!K92</f>
        <v>810000</v>
      </c>
      <c r="I26" s="39"/>
      <c r="J26" s="39"/>
      <c r="K26" s="39"/>
      <c r="L26" s="39"/>
    </row>
    <row r="27" spans="1:12" ht="16.5" thickBot="1">
      <c r="B27" s="69"/>
      <c r="C27" s="70"/>
      <c r="D27" s="70"/>
      <c r="E27" s="70"/>
      <c r="F27" s="70"/>
      <c r="G27" s="70"/>
      <c r="H27" s="484"/>
    </row>
    <row r="28" spans="1:12" ht="17.25" thickTop="1" thickBot="1">
      <c r="B28" s="72"/>
      <c r="C28" s="73"/>
      <c r="D28" s="73"/>
      <c r="E28" s="73"/>
      <c r="F28" s="74" t="s">
        <v>41</v>
      </c>
      <c r="G28" s="74"/>
      <c r="H28" s="75">
        <f>SUM(H14:H27)</f>
        <v>170323570</v>
      </c>
    </row>
    <row r="29" spans="1:12" ht="16.5" thickTop="1">
      <c r="B29" s="76"/>
      <c r="C29" s="77"/>
      <c r="D29" s="77"/>
      <c r="E29" s="77"/>
      <c r="F29" s="77"/>
      <c r="G29" s="77"/>
      <c r="H29" s="78"/>
    </row>
    <row r="30" spans="1:12">
      <c r="B30" s="79"/>
      <c r="C30" s="56"/>
      <c r="D30" s="56"/>
      <c r="E30" s="58"/>
      <c r="F30" s="40"/>
      <c r="G30" s="43"/>
      <c r="H30" s="715"/>
    </row>
    <row r="31" spans="1:12">
      <c r="B31" s="81"/>
      <c r="C31" s="41"/>
      <c r="E31" s="44"/>
      <c r="H31" s="82"/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4AE857-524A-4F48-B2CE-EA7CEE7F7BC9}">
  <sheetPr>
    <tabColor rgb="FFFFFF00"/>
    <pageSetUpPr fitToPage="1"/>
  </sheetPr>
  <dimension ref="A2:L34"/>
  <sheetViews>
    <sheetView topLeftCell="A7" workbookViewId="0">
      <selection activeCell="E17" sqref="E17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608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609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Resto 200 m2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tr">
        <f>'BQresto 200'!B12</f>
        <v>PEKERJAAN PERSIAPAN &amp; PENYELESAIAN</v>
      </c>
      <c r="D14" s="58"/>
      <c r="E14" s="58"/>
      <c r="F14" s="58"/>
      <c r="G14" s="58"/>
      <c r="H14" s="483">
        <f>'BQresto 200'!J19</f>
        <v>5000000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tr">
        <f>'BQresto 200'!B20</f>
        <v>PEKERJAAN LAN</v>
      </c>
      <c r="D15" s="58"/>
      <c r="E15" s="58"/>
      <c r="F15" s="58"/>
      <c r="G15" s="58"/>
      <c r="H15" s="483">
        <f>'BQresto 200'!J29</f>
        <v>73000000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tr">
        <f>'BQresto 200'!B30</f>
        <v>PEKERJAAN  CCTV</v>
      </c>
      <c r="D16" s="58"/>
      <c r="E16" s="58"/>
      <c r="F16" s="58"/>
      <c r="G16" s="58"/>
      <c r="H16" s="483">
        <f>'BQresto 200'!J44</f>
        <v>32600000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tr">
        <f>'BQresto 200'!B45</f>
        <v>MATERIAL TAMBAHAN</v>
      </c>
      <c r="D17" s="58"/>
      <c r="E17" s="58"/>
      <c r="F17" s="58"/>
      <c r="G17" s="58"/>
      <c r="H17" s="483">
        <f>'BQresto 200'!J48</f>
        <v>25000000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tr">
        <f>'BQresto 200'!B49</f>
        <v>-</v>
      </c>
      <c r="D18" s="58"/>
      <c r="E18" s="58"/>
      <c r="F18" s="58"/>
      <c r="G18" s="58"/>
      <c r="H18" s="483">
        <f>'BQresto 200'!J52</f>
        <v>0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tr">
        <f>'BQresto 200'!B53</f>
        <v>PEKERJAAN WIFI</v>
      </c>
      <c r="D19" s="58"/>
      <c r="E19" s="58"/>
      <c r="F19" s="58"/>
      <c r="G19" s="58"/>
      <c r="H19" s="483">
        <f>'BQresto 200'!J65</f>
        <v>27000000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tr">
        <f>'BQresto 200'!B67</f>
        <v>-</v>
      </c>
      <c r="D20" s="58"/>
      <c r="E20" s="58"/>
      <c r="F20" s="58"/>
      <c r="G20" s="58"/>
      <c r="H20" s="483">
        <f>'BQresto 200'!J69</f>
        <v>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tr">
        <f>'BQresto 200'!B71</f>
        <v>PEKERJAAN PABX</v>
      </c>
      <c r="D21" s="58"/>
      <c r="E21" s="58"/>
      <c r="F21" s="58"/>
      <c r="G21" s="58"/>
      <c r="H21" s="483">
        <f>'BQresto 200'!J80</f>
        <v>21500000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tr">
        <f>'BQresto 200'!B81</f>
        <v>-</v>
      </c>
      <c r="D22" s="58"/>
      <c r="E22" s="58"/>
      <c r="F22" s="58"/>
      <c r="G22" s="58"/>
      <c r="H22" s="483">
        <f>'BQresto 200'!J97</f>
        <v>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tr">
        <f>'BQresto 200'!B98</f>
        <v>-</v>
      </c>
      <c r="D23" s="58"/>
      <c r="E23" s="58"/>
      <c r="F23" s="58"/>
      <c r="G23" s="58"/>
      <c r="H23" s="483">
        <f>'BQresto 200'!J101</f>
        <v>0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tr">
        <f>'BQresto 200'!B102</f>
        <v>-</v>
      </c>
      <c r="D24" s="58"/>
      <c r="E24" s="58"/>
      <c r="F24" s="58"/>
      <c r="G24" s="58"/>
      <c r="H24" s="483">
        <f>'BQresto 200'!J107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tr">
        <f>'BQresto 200'!B108</f>
        <v>-</v>
      </c>
      <c r="D25" s="58"/>
      <c r="E25" s="58"/>
      <c r="F25" s="58"/>
      <c r="G25" s="58"/>
      <c r="H25" s="483">
        <f>'BQresto 200'!J115</f>
        <v>0</v>
      </c>
      <c r="I25" s="39"/>
      <c r="J25" s="39"/>
      <c r="K25" s="39"/>
      <c r="L25" s="39"/>
    </row>
    <row r="26" spans="1:12" s="60" customFormat="1">
      <c r="A26" s="39"/>
      <c r="B26" s="55" t="s">
        <v>37</v>
      </c>
      <c r="C26" s="56" t="str">
        <f>'BQresto 200'!B117</f>
        <v>-</v>
      </c>
      <c r="D26" s="58"/>
      <c r="E26" s="58"/>
      <c r="F26" s="58"/>
      <c r="G26" s="58"/>
      <c r="H26" s="483">
        <f>'BQresto 200'!J122</f>
        <v>0</v>
      </c>
      <c r="I26" s="39"/>
      <c r="J26" s="39"/>
      <c r="K26" s="39"/>
      <c r="L26" s="39"/>
    </row>
    <row r="27" spans="1:12" ht="16.5" thickBot="1">
      <c r="B27" s="69"/>
      <c r="C27" s="70"/>
      <c r="D27" s="70"/>
      <c r="E27" s="70"/>
      <c r="F27" s="70"/>
      <c r="G27" s="70"/>
      <c r="H27" s="484"/>
    </row>
    <row r="28" spans="1:12" ht="17.25" thickTop="1" thickBot="1">
      <c r="B28" s="72"/>
      <c r="C28" s="73"/>
      <c r="D28" s="73"/>
      <c r="E28" s="73"/>
      <c r="F28" s="74" t="s">
        <v>41</v>
      </c>
      <c r="G28" s="74"/>
      <c r="H28" s="75">
        <f>SUM(H14:H27)</f>
        <v>184100000</v>
      </c>
    </row>
    <row r="29" spans="1:12" ht="16.5" thickTop="1">
      <c r="B29" s="76"/>
      <c r="C29" s="77"/>
      <c r="D29" s="77"/>
      <c r="E29" s="77"/>
      <c r="F29" s="77"/>
      <c r="G29" s="77"/>
      <c r="H29" s="78"/>
    </row>
    <row r="30" spans="1:12">
      <c r="B30" s="79"/>
      <c r="C30" s="56"/>
      <c r="D30" s="56"/>
      <c r="E30" s="58"/>
      <c r="F30" s="39" t="s">
        <v>5</v>
      </c>
      <c r="G30" s="714">
        <v>4</v>
      </c>
      <c r="H30" s="715">
        <f>H28*G30</f>
        <v>736400000</v>
      </c>
    </row>
    <row r="31" spans="1:12">
      <c r="B31" s="81"/>
      <c r="C31" s="41"/>
      <c r="E31" s="44"/>
      <c r="H31" s="82"/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37C519-A954-469E-A938-E7248B63C7B7}">
  <dimension ref="A1:T119"/>
  <sheetViews>
    <sheetView topLeftCell="A49" workbookViewId="0">
      <selection activeCell="C73" sqref="C73"/>
    </sheetView>
  </sheetViews>
  <sheetFormatPr defaultColWidth="9.140625" defaultRowHeight="15.75"/>
  <cols>
    <col min="1" max="1" width="9.140625" style="849"/>
    <col min="2" max="2" width="6.42578125" style="849" customWidth="1"/>
    <col min="3" max="7" width="10.7109375" style="849" customWidth="1"/>
    <col min="8" max="8" width="7.42578125" style="996" bestFit="1" customWidth="1"/>
    <col min="9" max="9" width="9.42578125" style="849" customWidth="1"/>
    <col min="10" max="10" width="12.28515625" style="923" bestFit="1" customWidth="1"/>
    <col min="11" max="11" width="15.5703125" style="849" customWidth="1"/>
    <col min="12" max="12" width="9.28515625" style="849" customWidth="1"/>
    <col min="13" max="13" width="12.42578125" style="849" bestFit="1" customWidth="1"/>
    <col min="14" max="16" width="9.140625" style="849"/>
    <col min="17" max="17" width="14.140625" style="849" customWidth="1"/>
    <col min="18" max="18" width="11.28515625" style="849" bestFit="1" customWidth="1"/>
    <col min="19" max="16384" width="9.140625" style="849"/>
  </cols>
  <sheetData>
    <row r="1" spans="2:12">
      <c r="B1" s="414"/>
      <c r="C1" s="415"/>
      <c r="D1" s="415"/>
      <c r="E1" s="415"/>
      <c r="F1" s="415"/>
      <c r="G1" s="415"/>
      <c r="H1" s="272"/>
      <c r="I1" s="481"/>
      <c r="J1" s="416"/>
      <c r="K1" s="415"/>
    </row>
    <row r="2" spans="2:12">
      <c r="B2" s="414"/>
      <c r="C2" s="414"/>
      <c r="D2" s="414"/>
      <c r="E2" s="414"/>
      <c r="F2" s="414"/>
      <c r="G2" s="414"/>
      <c r="H2" s="417"/>
      <c r="I2" s="987"/>
      <c r="J2" s="418"/>
      <c r="K2" s="419"/>
    </row>
    <row r="3" spans="2:12">
      <c r="B3" s="414" t="s">
        <v>0</v>
      </c>
      <c r="C3" s="2"/>
      <c r="D3" s="1"/>
      <c r="E3" s="5"/>
      <c r="F3" s="6"/>
      <c r="G3" s="1"/>
      <c r="H3" s="1"/>
      <c r="I3" s="949"/>
      <c r="J3" s="292"/>
      <c r="K3" s="292"/>
    </row>
    <row r="4" spans="2:12">
      <c r="B4" s="859" t="s">
        <v>962</v>
      </c>
      <c r="C4" s="2"/>
      <c r="D4" s="1"/>
      <c r="E4" s="5"/>
      <c r="F4" s="6"/>
      <c r="G4" s="1"/>
      <c r="H4" s="1"/>
      <c r="I4" s="949"/>
      <c r="J4" s="292"/>
      <c r="K4" s="292"/>
    </row>
    <row r="5" spans="2:12">
      <c r="B5" s="850" t="s">
        <v>1</v>
      </c>
      <c r="C5" s="2"/>
      <c r="D5" s="1"/>
      <c r="E5" s="5"/>
      <c r="F5" s="6"/>
      <c r="G5" s="1"/>
      <c r="H5" s="1"/>
      <c r="I5" s="949"/>
      <c r="J5" s="292"/>
      <c r="K5" s="292"/>
    </row>
    <row r="6" spans="2:12">
      <c r="B6" s="414" t="s">
        <v>2</v>
      </c>
      <c r="C6" s="2"/>
      <c r="D6" s="1"/>
      <c r="E6" s="5"/>
      <c r="F6" s="6"/>
      <c r="G6" s="1"/>
      <c r="H6" s="1"/>
      <c r="I6" s="949"/>
      <c r="J6" s="292"/>
      <c r="K6" s="292"/>
    </row>
    <row r="7" spans="2:12">
      <c r="B7" s="850" t="s">
        <v>3</v>
      </c>
      <c r="C7" s="2"/>
      <c r="D7" s="1"/>
      <c r="E7" s="5"/>
      <c r="F7" s="6"/>
      <c r="G7" s="1"/>
      <c r="H7" s="1"/>
      <c r="I7" s="949"/>
      <c r="J7" s="292"/>
      <c r="K7" s="292"/>
    </row>
    <row r="8" spans="2:12" ht="16.5" thickBot="1">
      <c r="B8" s="1"/>
      <c r="C8" s="1"/>
      <c r="D8" s="1"/>
      <c r="E8" s="1"/>
      <c r="F8" s="1"/>
      <c r="G8" s="1"/>
      <c r="H8" s="1"/>
      <c r="I8" s="1136" t="s">
        <v>970</v>
      </c>
      <c r="J8" s="1136"/>
      <c r="K8" s="1136"/>
    </row>
    <row r="9" spans="2:12" ht="16.5" thickTop="1">
      <c r="B9" s="962"/>
      <c r="C9" s="961"/>
      <c r="D9" s="9"/>
      <c r="E9" s="9"/>
      <c r="F9" s="9"/>
      <c r="G9" s="960"/>
      <c r="H9" s="959"/>
      <c r="I9" s="948"/>
      <c r="J9" s="860" t="s">
        <v>4</v>
      </c>
      <c r="K9" s="879" t="s">
        <v>5</v>
      </c>
    </row>
    <row r="10" spans="2:12">
      <c r="B10" s="958" t="s">
        <v>6</v>
      </c>
      <c r="C10" s="957" t="s">
        <v>7</v>
      </c>
      <c r="D10" s="854"/>
      <c r="E10" s="854"/>
      <c r="F10" s="854"/>
      <c r="G10" s="956"/>
      <c r="H10" s="1010" t="s">
        <v>8</v>
      </c>
      <c r="I10" s="947" t="s">
        <v>9</v>
      </c>
      <c r="J10" s="862" t="s">
        <v>8</v>
      </c>
      <c r="K10" s="880" t="s">
        <v>4</v>
      </c>
    </row>
    <row r="11" spans="2:12" ht="16.5" thickBot="1">
      <c r="B11" s="955"/>
      <c r="C11" s="954"/>
      <c r="D11" s="21"/>
      <c r="E11" s="21"/>
      <c r="F11" s="21"/>
      <c r="G11" s="953"/>
      <c r="H11" s="952"/>
      <c r="I11" s="946"/>
      <c r="J11" s="864" t="s">
        <v>10</v>
      </c>
      <c r="K11" s="881" t="s">
        <v>10</v>
      </c>
    </row>
    <row r="12" spans="2:12" ht="16.5" thickTop="1">
      <c r="B12" s="561"/>
      <c r="C12" s="1079"/>
      <c r="D12" s="996"/>
      <c r="E12" s="996"/>
      <c r="F12" s="996"/>
      <c r="G12" s="934"/>
      <c r="I12" s="1080"/>
      <c r="J12" s="1081"/>
      <c r="K12" s="1078"/>
      <c r="L12" s="1053"/>
    </row>
    <row r="13" spans="2:12">
      <c r="B13" s="449" t="s">
        <v>339</v>
      </c>
      <c r="C13" s="568" t="s">
        <v>340</v>
      </c>
      <c r="D13" s="1029"/>
      <c r="E13" s="1029"/>
      <c r="F13" s="1029"/>
      <c r="G13" s="575"/>
      <c r="I13" s="571"/>
      <c r="J13" s="454"/>
      <c r="K13" s="573"/>
      <c r="L13" s="1044"/>
    </row>
    <row r="14" spans="2:12" ht="18">
      <c r="B14" s="561">
        <v>1</v>
      </c>
      <c r="C14" s="574" t="s">
        <v>341</v>
      </c>
      <c r="G14" s="575"/>
      <c r="H14" s="996" t="s">
        <v>496</v>
      </c>
      <c r="I14" s="453">
        <v>1</v>
      </c>
      <c r="J14" s="454">
        <v>400000</v>
      </c>
      <c r="K14" s="455">
        <f>I14*J14</f>
        <v>400000</v>
      </c>
      <c r="L14" s="929"/>
    </row>
    <row r="15" spans="2:12" ht="18">
      <c r="B15" s="561">
        <f>B14+1</f>
        <v>2</v>
      </c>
      <c r="C15" s="574" t="s">
        <v>343</v>
      </c>
      <c r="G15" s="575"/>
      <c r="H15" s="996" t="s">
        <v>497</v>
      </c>
      <c r="I15" s="453">
        <v>25</v>
      </c>
      <c r="J15" s="454">
        <v>20000</v>
      </c>
      <c r="K15" s="455">
        <f>I15*J15</f>
        <v>500000</v>
      </c>
      <c r="L15" s="929"/>
    </row>
    <row r="16" spans="2:12">
      <c r="B16" s="576"/>
      <c r="C16" s="574"/>
      <c r="G16" s="575"/>
      <c r="I16" s="453"/>
      <c r="J16" s="454"/>
      <c r="K16" s="455"/>
      <c r="L16" s="929"/>
    </row>
    <row r="17" spans="2:13">
      <c r="B17" s="561"/>
      <c r="C17" s="574"/>
      <c r="G17" s="943"/>
      <c r="I17" s="453"/>
      <c r="J17" s="938" t="s">
        <v>348</v>
      </c>
      <c r="K17" s="578">
        <f>SUM(K14:K15)</f>
        <v>900000</v>
      </c>
      <c r="L17" s="928"/>
      <c r="M17" s="1045"/>
    </row>
    <row r="18" spans="2:13">
      <c r="B18" s="449" t="s">
        <v>349</v>
      </c>
      <c r="C18" s="568" t="s">
        <v>191</v>
      </c>
      <c r="D18" s="1029"/>
      <c r="E18" s="1029"/>
      <c r="F18" s="1029"/>
      <c r="G18" s="575"/>
      <c r="I18" s="453"/>
      <c r="J18" s="454"/>
      <c r="K18" s="455"/>
      <c r="L18" s="1044"/>
    </row>
    <row r="19" spans="2:13" ht="18">
      <c r="B19" s="561">
        <v>1</v>
      </c>
      <c r="C19" s="574" t="s">
        <v>554</v>
      </c>
      <c r="G19" s="575"/>
      <c r="H19" s="996" t="s">
        <v>498</v>
      </c>
      <c r="I19" s="453">
        <f>'[82]An Pusat Keamanan'!G22</f>
        <v>13.68</v>
      </c>
      <c r="J19" s="454">
        <v>150000</v>
      </c>
      <c r="K19" s="455">
        <f>I19*J19</f>
        <v>2052000</v>
      </c>
      <c r="L19" s="929"/>
      <c r="M19" s="1045"/>
    </row>
    <row r="20" spans="2:13" ht="18">
      <c r="B20" s="561">
        <f>B19+1</f>
        <v>2</v>
      </c>
      <c r="C20" s="574" t="s">
        <v>352</v>
      </c>
      <c r="G20" s="575"/>
      <c r="H20" s="996" t="s">
        <v>498</v>
      </c>
      <c r="I20" s="453">
        <f>'[82]An Pusat Keamanan'!D22*'[82]An Pusat Keamanan'!F22*0.05</f>
        <v>1.1400000000000001</v>
      </c>
      <c r="J20" s="454">
        <f>'[84] RAB'!F13</f>
        <v>310000</v>
      </c>
      <c r="K20" s="455">
        <f>I20*J20</f>
        <v>353400.00000000006</v>
      </c>
      <c r="L20" s="929"/>
    </row>
    <row r="21" spans="2:13" ht="18">
      <c r="B21" s="561">
        <f>B20+1</f>
        <v>3</v>
      </c>
      <c r="C21" s="574" t="s">
        <v>211</v>
      </c>
      <c r="G21" s="575"/>
      <c r="H21" s="996" t="s">
        <v>498</v>
      </c>
      <c r="I21" s="453">
        <f>'[82]An Pusat Keamanan'!G23</f>
        <v>9.1199999999999992</v>
      </c>
      <c r="J21" s="454">
        <f>'[84] RAB'!G98</f>
        <v>973500</v>
      </c>
      <c r="K21" s="455">
        <f>I21*J21</f>
        <v>8878320</v>
      </c>
      <c r="L21" s="929"/>
    </row>
    <row r="22" spans="2:13">
      <c r="B22" s="561"/>
      <c r="C22" s="574"/>
      <c r="G22" s="575"/>
      <c r="I22" s="453"/>
      <c r="J22" s="454"/>
      <c r="K22" s="455"/>
      <c r="L22" s="1044"/>
      <c r="M22" s="1046"/>
    </row>
    <row r="23" spans="2:13">
      <c r="B23" s="561"/>
      <c r="C23" s="574"/>
      <c r="G23" s="943"/>
      <c r="I23" s="453"/>
      <c r="J23" s="938" t="s">
        <v>353</v>
      </c>
      <c r="K23" s="578">
        <f>SUM(K19:K22)</f>
        <v>11283720</v>
      </c>
      <c r="L23" s="928"/>
      <c r="M23" s="1045"/>
    </row>
    <row r="24" spans="2:13">
      <c r="B24" s="449" t="s">
        <v>354</v>
      </c>
      <c r="C24" s="568" t="s">
        <v>805</v>
      </c>
      <c r="D24" s="1029"/>
      <c r="E24" s="1029"/>
      <c r="F24" s="1029"/>
      <c r="G24" s="575"/>
      <c r="I24" s="453"/>
      <c r="J24" s="454"/>
      <c r="K24" s="455"/>
      <c r="L24" s="1044"/>
    </row>
    <row r="25" spans="2:13" ht="18">
      <c r="B25" s="561">
        <v>1</v>
      </c>
      <c r="C25" s="574" t="s">
        <v>784</v>
      </c>
      <c r="G25" s="575"/>
      <c r="H25" s="996" t="s">
        <v>498</v>
      </c>
      <c r="I25" s="453">
        <f>'[82]An Pusat Keamanan'!G24</f>
        <v>1.1399999999999999</v>
      </c>
      <c r="J25" s="454">
        <v>5800000</v>
      </c>
      <c r="K25" s="455">
        <f>I25*J25</f>
        <v>6611999.9999999991</v>
      </c>
      <c r="L25" s="929"/>
    </row>
    <row r="26" spans="2:13" ht="18">
      <c r="B26" s="561">
        <v>2</v>
      </c>
      <c r="C26" s="574" t="s">
        <v>557</v>
      </c>
      <c r="G26" s="575"/>
      <c r="H26" s="996" t="s">
        <v>498</v>
      </c>
      <c r="I26" s="453">
        <f>'[82]An Pusat Keamanan'!H25</f>
        <v>0.94499999999999995</v>
      </c>
      <c r="J26" s="454">
        <f>J25</f>
        <v>5800000</v>
      </c>
      <c r="K26" s="455">
        <f>I26*J26</f>
        <v>5481000</v>
      </c>
      <c r="L26" s="929"/>
      <c r="M26" s="1046"/>
    </row>
    <row r="27" spans="2:13">
      <c r="B27" s="561">
        <f>B26+1</f>
        <v>3</v>
      </c>
      <c r="C27" s="574" t="s">
        <v>558</v>
      </c>
      <c r="G27" s="575"/>
      <c r="H27" s="996" t="s">
        <v>254</v>
      </c>
      <c r="I27" s="453">
        <f>'[84] ARS 317 pos blok A'!H28</f>
        <v>0.61875000000000002</v>
      </c>
      <c r="J27" s="454">
        <f>J26</f>
        <v>5800000</v>
      </c>
      <c r="K27" s="455">
        <f>I27*J27</f>
        <v>3588750</v>
      </c>
      <c r="L27" s="929"/>
      <c r="M27" s="1046"/>
    </row>
    <row r="28" spans="2:13">
      <c r="B28" s="576"/>
      <c r="C28" s="574"/>
      <c r="G28" s="575"/>
      <c r="I28" s="453"/>
      <c r="J28" s="454"/>
      <c r="K28" s="455"/>
      <c r="L28" s="929"/>
      <c r="M28" s="1046"/>
    </row>
    <row r="29" spans="2:13">
      <c r="B29" s="561"/>
      <c r="C29" s="574"/>
      <c r="G29" s="943"/>
      <c r="I29" s="453"/>
      <c r="J29" s="938" t="s">
        <v>358</v>
      </c>
      <c r="K29" s="578">
        <f>SUM(K25:K28)</f>
        <v>15681750</v>
      </c>
      <c r="L29" s="928"/>
      <c r="M29" s="1045"/>
    </row>
    <row r="30" spans="2:13">
      <c r="B30" s="449" t="s">
        <v>359</v>
      </c>
      <c r="C30" s="568" t="s">
        <v>360</v>
      </c>
      <c r="D30" s="1029"/>
      <c r="E30" s="1029"/>
      <c r="F30" s="1029"/>
      <c r="G30" s="575"/>
      <c r="I30" s="453"/>
      <c r="J30" s="454"/>
      <c r="K30" s="455"/>
      <c r="L30" s="1044"/>
    </row>
    <row r="31" spans="2:13" ht="18">
      <c r="B31" s="561">
        <v>1</v>
      </c>
      <c r="C31" s="574" t="s">
        <v>593</v>
      </c>
      <c r="G31" s="934"/>
      <c r="H31" s="996" t="s">
        <v>496</v>
      </c>
      <c r="I31" s="583">
        <f>'[82]An Pusat Keamanan'!I38</f>
        <v>83.399999999999991</v>
      </c>
      <c r="J31" s="939">
        <v>138000</v>
      </c>
      <c r="K31" s="455">
        <f>I31*J31</f>
        <v>11509199.999999998</v>
      </c>
      <c r="L31" s="929"/>
    </row>
    <row r="32" spans="2:13" ht="18">
      <c r="B32" s="561">
        <f>B31+1</f>
        <v>2</v>
      </c>
      <c r="C32" s="574" t="s">
        <v>783</v>
      </c>
      <c r="G32" s="934"/>
      <c r="H32" s="996" t="s">
        <v>496</v>
      </c>
      <c r="I32" s="583">
        <v>22</v>
      </c>
      <c r="J32" s="939">
        <v>280000</v>
      </c>
      <c r="K32" s="455">
        <f>I32*J32</f>
        <v>6160000</v>
      </c>
      <c r="L32" s="929"/>
    </row>
    <row r="33" spans="2:17">
      <c r="B33" s="561">
        <v>3</v>
      </c>
      <c r="C33" s="574"/>
      <c r="G33" s="934"/>
      <c r="I33" s="583"/>
      <c r="J33" s="939"/>
      <c r="K33" s="455"/>
      <c r="L33" s="929"/>
    </row>
    <row r="34" spans="2:17">
      <c r="B34" s="561"/>
      <c r="C34" s="574"/>
      <c r="G34" s="934"/>
      <c r="I34" s="453"/>
      <c r="J34" s="938" t="s">
        <v>361</v>
      </c>
      <c r="K34" s="578">
        <f>SUM(K31:K32)</f>
        <v>17669200</v>
      </c>
      <c r="L34" s="928"/>
      <c r="M34" s="1047"/>
    </row>
    <row r="35" spans="2:17">
      <c r="B35" s="449" t="s">
        <v>362</v>
      </c>
      <c r="C35" s="568" t="s">
        <v>363</v>
      </c>
      <c r="D35" s="1029"/>
      <c r="E35" s="1029"/>
      <c r="F35" s="1029"/>
      <c r="G35" s="575"/>
      <c r="I35" s="453"/>
      <c r="J35" s="454"/>
      <c r="K35" s="455"/>
      <c r="L35" s="1044"/>
      <c r="M35" s="1045"/>
    </row>
    <row r="36" spans="2:17" ht="18">
      <c r="B36" s="561">
        <v>1</v>
      </c>
      <c r="C36" s="574" t="s">
        <v>364</v>
      </c>
      <c r="G36" s="575"/>
      <c r="H36" s="996" t="s">
        <v>496</v>
      </c>
      <c r="I36" s="584">
        <f>I31*2</f>
        <v>166.79999999999998</v>
      </c>
      <c r="J36" s="454">
        <v>125000</v>
      </c>
      <c r="K36" s="455">
        <f>I36*J36</f>
        <v>20849999.999999996</v>
      </c>
      <c r="L36" s="929"/>
    </row>
    <row r="37" spans="2:17" ht="18">
      <c r="B37" s="561">
        <f>B36+1</f>
        <v>2</v>
      </c>
      <c r="C37" s="574" t="s">
        <v>284</v>
      </c>
      <c r="G37" s="575"/>
      <c r="H37" s="996" t="s">
        <v>496</v>
      </c>
      <c r="I37" s="453">
        <v>14.5</v>
      </c>
      <c r="J37" s="454">
        <v>145000</v>
      </c>
      <c r="K37" s="455">
        <f>I37*J37</f>
        <v>2102500</v>
      </c>
      <c r="L37" s="929"/>
    </row>
    <row r="38" spans="2:17">
      <c r="B38" s="991"/>
      <c r="C38" s="574"/>
      <c r="G38" s="575"/>
      <c r="I38" s="453"/>
      <c r="J38" s="454"/>
      <c r="K38" s="455"/>
      <c r="L38" s="929"/>
    </row>
    <row r="39" spans="2:17">
      <c r="B39" s="561"/>
      <c r="C39" s="574"/>
      <c r="G39" s="934"/>
      <c r="I39" s="453"/>
      <c r="J39" s="938" t="s">
        <v>365</v>
      </c>
      <c r="K39" s="578">
        <f>SUM(K36:K37)</f>
        <v>22952499.999999996</v>
      </c>
      <c r="L39" s="928"/>
      <c r="M39" s="1047"/>
      <c r="Q39" s="1045"/>
    </row>
    <row r="40" spans="2:17">
      <c r="B40" s="449" t="s">
        <v>366</v>
      </c>
      <c r="C40" s="568" t="s">
        <v>288</v>
      </c>
      <c r="D40" s="1029"/>
      <c r="E40" s="1029"/>
      <c r="F40" s="1029"/>
      <c r="G40" s="575"/>
      <c r="I40" s="453"/>
      <c r="J40" s="454"/>
      <c r="K40" s="455"/>
      <c r="L40" s="1044"/>
    </row>
    <row r="41" spans="2:17" ht="18">
      <c r="B41" s="561">
        <v>1</v>
      </c>
      <c r="C41" s="574" t="s">
        <v>562</v>
      </c>
      <c r="G41" s="575"/>
      <c r="H41" s="996" t="s">
        <v>496</v>
      </c>
      <c r="I41" s="453">
        <v>80</v>
      </c>
      <c r="J41" s="454">
        <v>175000</v>
      </c>
      <c r="K41" s="455">
        <f>I41*J41</f>
        <v>14000000</v>
      </c>
      <c r="L41" s="929"/>
    </row>
    <row r="42" spans="2:17" ht="18">
      <c r="B42" s="561">
        <f>B41+1</f>
        <v>2</v>
      </c>
      <c r="C42" s="574" t="s">
        <v>782</v>
      </c>
      <c r="G42" s="575"/>
      <c r="H42" s="996" t="s">
        <v>496</v>
      </c>
      <c r="I42" s="453">
        <f>I41</f>
        <v>80</v>
      </c>
      <c r="J42" s="454">
        <v>360000</v>
      </c>
      <c r="K42" s="455">
        <f>I42*J42</f>
        <v>28800000</v>
      </c>
      <c r="L42" s="929"/>
    </row>
    <row r="43" spans="2:17" ht="18">
      <c r="B43" s="561">
        <f>B42+1</f>
        <v>3</v>
      </c>
      <c r="C43" s="574" t="s">
        <v>781</v>
      </c>
      <c r="G43" s="575"/>
      <c r="H43" s="996" t="s">
        <v>497</v>
      </c>
      <c r="I43" s="453">
        <v>10</v>
      </c>
      <c r="J43" s="454">
        <v>100000</v>
      </c>
      <c r="K43" s="455">
        <f>I43*J43</f>
        <v>1000000</v>
      </c>
      <c r="L43" s="929"/>
    </row>
    <row r="44" spans="2:17">
      <c r="B44" s="561"/>
      <c r="C44" s="574"/>
      <c r="G44" s="575"/>
      <c r="I44" s="453"/>
      <c r="J44" s="454"/>
      <c r="K44" s="455"/>
      <c r="L44" s="929"/>
    </row>
    <row r="45" spans="2:17">
      <c r="B45" s="561"/>
      <c r="C45" s="574"/>
      <c r="G45" s="934"/>
      <c r="I45" s="453"/>
      <c r="J45" s="938" t="s">
        <v>368</v>
      </c>
      <c r="K45" s="578">
        <f>SUM(K41:K44)</f>
        <v>43800000</v>
      </c>
      <c r="L45" s="928"/>
      <c r="M45" s="1045"/>
    </row>
    <row r="46" spans="2:17">
      <c r="B46" s="449" t="s">
        <v>369</v>
      </c>
      <c r="C46" s="568" t="s">
        <v>499</v>
      </c>
      <c r="D46" s="1029"/>
      <c r="E46" s="1029"/>
      <c r="F46" s="1029"/>
      <c r="G46" s="575"/>
      <c r="I46" s="453"/>
      <c r="J46" s="454"/>
      <c r="K46" s="455"/>
      <c r="L46" s="1044"/>
    </row>
    <row r="47" spans="2:17" ht="18">
      <c r="B47" s="576">
        <v>1</v>
      </c>
      <c r="C47" s="574" t="s">
        <v>35</v>
      </c>
      <c r="G47" s="575"/>
      <c r="H47" s="996" t="s">
        <v>496</v>
      </c>
      <c r="I47" s="453">
        <f>8*10</f>
        <v>80</v>
      </c>
      <c r="J47" s="454">
        <v>125000</v>
      </c>
      <c r="K47" s="455">
        <f>I47*J47</f>
        <v>10000000</v>
      </c>
      <c r="L47" s="929"/>
      <c r="M47" s="1048"/>
    </row>
    <row r="48" spans="2:17">
      <c r="B48" s="561"/>
      <c r="C48" s="574"/>
      <c r="G48" s="575"/>
      <c r="I48" s="453"/>
      <c r="J48" s="454"/>
      <c r="K48" s="455"/>
      <c r="L48" s="929"/>
    </row>
    <row r="49" spans="1:13">
      <c r="B49" s="561"/>
      <c r="C49" s="574"/>
      <c r="G49" s="934"/>
      <c r="I49" s="453"/>
      <c r="J49" s="938" t="s">
        <v>371</v>
      </c>
      <c r="K49" s="578">
        <f>SUM(K47:K47)</f>
        <v>10000000</v>
      </c>
      <c r="L49" s="928"/>
      <c r="M49" s="1045"/>
    </row>
    <row r="50" spans="1:13">
      <c r="B50" s="449" t="s">
        <v>372</v>
      </c>
      <c r="C50" s="568" t="s">
        <v>373</v>
      </c>
      <c r="D50" s="1029"/>
      <c r="E50" s="1029"/>
      <c r="F50" s="1029"/>
      <c r="G50" s="575"/>
      <c r="I50" s="453"/>
      <c r="J50" s="454"/>
      <c r="K50" s="455"/>
      <c r="L50" s="1044"/>
    </row>
    <row r="51" spans="1:13" ht="18">
      <c r="B51" s="561">
        <v>1</v>
      </c>
      <c r="C51" s="574" t="s">
        <v>374</v>
      </c>
      <c r="G51" s="575"/>
      <c r="H51" s="996" t="s">
        <v>496</v>
      </c>
      <c r="I51" s="453">
        <f>6*8</f>
        <v>48</v>
      </c>
      <c r="J51" s="454">
        <v>25000</v>
      </c>
      <c r="K51" s="455">
        <f>I51*J51</f>
        <v>1200000</v>
      </c>
      <c r="L51" s="929"/>
    </row>
    <row r="52" spans="1:13" ht="18">
      <c r="B52" s="561">
        <v>2</v>
      </c>
      <c r="C52" s="574" t="s">
        <v>375</v>
      </c>
      <c r="G52" s="575"/>
      <c r="H52" s="996" t="s">
        <v>498</v>
      </c>
      <c r="I52" s="453">
        <f>I51*0.03</f>
        <v>1.44</v>
      </c>
      <c r="J52" s="454">
        <v>350000</v>
      </c>
      <c r="K52" s="455">
        <f>I52*J52</f>
        <v>504000</v>
      </c>
      <c r="L52" s="929"/>
    </row>
    <row r="53" spans="1:13" ht="18">
      <c r="B53" s="576">
        <v>3</v>
      </c>
      <c r="C53" s="586" t="s">
        <v>569</v>
      </c>
      <c r="D53" s="1048"/>
      <c r="E53" s="1048"/>
      <c r="F53" s="1048"/>
      <c r="G53" s="575"/>
      <c r="H53" s="996" t="s">
        <v>498</v>
      </c>
      <c r="I53" s="453">
        <f>I51*0.03</f>
        <v>1.44</v>
      </c>
      <c r="J53" s="454">
        <v>700000</v>
      </c>
      <c r="K53" s="455">
        <f>I53*J53</f>
        <v>1008000</v>
      </c>
      <c r="L53" s="929"/>
    </row>
    <row r="54" spans="1:13">
      <c r="B54" s="561">
        <v>4</v>
      </c>
      <c r="C54" s="574" t="s">
        <v>963</v>
      </c>
      <c r="G54" s="575"/>
      <c r="I54" s="453"/>
      <c r="J54" s="454"/>
      <c r="K54" s="455"/>
      <c r="L54" s="1044"/>
    </row>
    <row r="55" spans="1:13" ht="18">
      <c r="B55" s="561"/>
      <c r="C55" s="574" t="s">
        <v>964</v>
      </c>
      <c r="G55" s="575"/>
      <c r="H55" s="996" t="s">
        <v>496</v>
      </c>
      <c r="I55" s="453">
        <v>4</v>
      </c>
      <c r="J55" s="454">
        <v>160000</v>
      </c>
      <c r="K55" s="455">
        <f>I55*J55</f>
        <v>640000</v>
      </c>
      <c r="L55" s="929"/>
    </row>
    <row r="56" spans="1:13" ht="18">
      <c r="B56" s="561"/>
      <c r="C56" s="574" t="s">
        <v>965</v>
      </c>
      <c r="G56" s="575"/>
      <c r="H56" s="996" t="s">
        <v>496</v>
      </c>
      <c r="I56" s="453">
        <v>40</v>
      </c>
      <c r="J56" s="454">
        <v>180000</v>
      </c>
      <c r="K56" s="455">
        <f>I56*J56</f>
        <v>7200000</v>
      </c>
      <c r="L56" s="929"/>
    </row>
    <row r="57" spans="1:13" ht="18">
      <c r="B57" s="561"/>
      <c r="C57" s="574" t="s">
        <v>966</v>
      </c>
      <c r="G57" s="575"/>
      <c r="H57" s="996" t="s">
        <v>496</v>
      </c>
      <c r="I57" s="453">
        <v>8</v>
      </c>
      <c r="J57" s="454">
        <v>180000</v>
      </c>
      <c r="K57" s="455">
        <f>I57*J57</f>
        <v>1440000</v>
      </c>
      <c r="L57" s="929"/>
    </row>
    <row r="58" spans="1:13">
      <c r="A58" s="1077"/>
      <c r="B58" s="561"/>
      <c r="C58" s="574"/>
      <c r="G58" s="575"/>
      <c r="I58" s="453"/>
      <c r="J58" s="454"/>
      <c r="K58" s="455"/>
      <c r="L58" s="929"/>
    </row>
    <row r="59" spans="1:13">
      <c r="B59" s="561"/>
      <c r="C59" s="574"/>
      <c r="G59" s="934"/>
      <c r="I59" s="453"/>
      <c r="J59" s="938" t="s">
        <v>377</v>
      </c>
      <c r="K59" s="578">
        <f>SUM(K51:K58)</f>
        <v>11992000</v>
      </c>
      <c r="L59" s="928"/>
      <c r="M59" s="1045"/>
    </row>
    <row r="60" spans="1:13">
      <c r="A60" s="1048"/>
      <c r="B60" s="449" t="s">
        <v>378</v>
      </c>
      <c r="C60" s="568" t="s">
        <v>807</v>
      </c>
      <c r="D60" s="1029"/>
      <c r="E60" s="1029"/>
      <c r="F60" s="1029"/>
      <c r="G60" s="575"/>
      <c r="I60" s="453"/>
      <c r="J60" s="454"/>
      <c r="K60" s="455"/>
      <c r="L60" s="1044"/>
      <c r="M60" s="1049"/>
    </row>
    <row r="61" spans="1:13">
      <c r="B61" s="561">
        <v>1</v>
      </c>
      <c r="C61" s="574" t="s">
        <v>968</v>
      </c>
      <c r="G61" s="575"/>
      <c r="H61" s="996" t="s">
        <v>32</v>
      </c>
      <c r="I61" s="453">
        <v>1</v>
      </c>
      <c r="J61" s="454">
        <v>2200000</v>
      </c>
      <c r="K61" s="455">
        <f>I61*J61</f>
        <v>2200000</v>
      </c>
      <c r="L61" s="929"/>
      <c r="M61" s="1050"/>
    </row>
    <row r="62" spans="1:13">
      <c r="B62" s="561">
        <f>B61+1</f>
        <v>2</v>
      </c>
      <c r="C62" s="574" t="s">
        <v>969</v>
      </c>
      <c r="G62" s="575"/>
      <c r="H62" s="996" t="s">
        <v>380</v>
      </c>
      <c r="I62" s="453">
        <v>1</v>
      </c>
      <c r="J62" s="454">
        <v>4500000</v>
      </c>
      <c r="K62" s="455">
        <f>I62*J62</f>
        <v>4500000</v>
      </c>
      <c r="L62" s="929"/>
      <c r="M62" s="1050"/>
    </row>
    <row r="63" spans="1:13">
      <c r="B63" s="561">
        <f t="shared" ref="B63:B64" si="0">B62+1</f>
        <v>3</v>
      </c>
      <c r="C63" s="574" t="s">
        <v>967</v>
      </c>
      <c r="G63" s="575"/>
      <c r="H63" s="996" t="s">
        <v>32</v>
      </c>
      <c r="I63" s="453">
        <v>3</v>
      </c>
      <c r="J63" s="454">
        <v>3600000</v>
      </c>
      <c r="K63" s="455">
        <f>I63*J63</f>
        <v>10800000</v>
      </c>
      <c r="L63" s="929"/>
      <c r="M63" s="1050"/>
    </row>
    <row r="64" spans="1:13">
      <c r="A64" s="1048"/>
      <c r="B64" s="561">
        <f t="shared" si="0"/>
        <v>4</v>
      </c>
      <c r="C64" s="574" t="s">
        <v>926</v>
      </c>
      <c r="G64" s="575"/>
      <c r="H64" s="996" t="s">
        <v>32</v>
      </c>
      <c r="I64" s="453">
        <v>1</v>
      </c>
      <c r="J64" s="454">
        <v>3200000</v>
      </c>
      <c r="K64" s="455">
        <f>I64*J64</f>
        <v>3200000</v>
      </c>
      <c r="L64" s="929"/>
      <c r="M64" s="1050"/>
    </row>
    <row r="65" spans="1:20">
      <c r="B65" s="561"/>
      <c r="C65" s="574"/>
      <c r="G65" s="575"/>
      <c r="I65" s="453"/>
      <c r="J65" s="454"/>
      <c r="K65" s="455"/>
      <c r="L65" s="929"/>
      <c r="M65" s="1050"/>
    </row>
    <row r="66" spans="1:20">
      <c r="B66" s="561"/>
      <c r="C66" s="574"/>
      <c r="G66" s="934"/>
      <c r="I66" s="453"/>
      <c r="J66" s="938" t="s">
        <v>383</v>
      </c>
      <c r="K66" s="578">
        <f>SUM(K61:K64)</f>
        <v>20700000</v>
      </c>
      <c r="L66" s="928"/>
      <c r="M66" s="1051"/>
    </row>
    <row r="67" spans="1:20">
      <c r="B67" s="449" t="s">
        <v>384</v>
      </c>
      <c r="C67" s="568" t="s">
        <v>385</v>
      </c>
      <c r="D67" s="1029"/>
      <c r="E67" s="1029"/>
      <c r="F67" s="1029"/>
      <c r="G67" s="575"/>
      <c r="I67" s="453"/>
      <c r="J67" s="454"/>
      <c r="K67" s="455"/>
      <c r="L67" s="1044"/>
    </row>
    <row r="68" spans="1:20" ht="18">
      <c r="B68" s="561">
        <v>1</v>
      </c>
      <c r="C68" s="574" t="s">
        <v>386</v>
      </c>
      <c r="G68" s="575"/>
      <c r="H68" s="996" t="s">
        <v>496</v>
      </c>
      <c r="I68" s="453">
        <f>I36</f>
        <v>166.79999999999998</v>
      </c>
      <c r="J68" s="454">
        <v>38000</v>
      </c>
      <c r="K68" s="455">
        <f>I68*J68</f>
        <v>6338399.9999999991</v>
      </c>
      <c r="L68" s="929"/>
    </row>
    <row r="69" spans="1:20" ht="18">
      <c r="B69" s="561">
        <v>2</v>
      </c>
      <c r="C69" s="574" t="s">
        <v>387</v>
      </c>
      <c r="G69" s="575"/>
      <c r="H69" s="996" t="s">
        <v>496</v>
      </c>
      <c r="I69" s="453">
        <f>8*4</f>
        <v>32</v>
      </c>
      <c r="J69" s="454">
        <f>J68</f>
        <v>38000</v>
      </c>
      <c r="K69" s="455">
        <f>I69*J69</f>
        <v>1216000</v>
      </c>
      <c r="L69" s="929"/>
    </row>
    <row r="70" spans="1:20">
      <c r="B70" s="561"/>
      <c r="C70" s="574"/>
      <c r="G70" s="575"/>
      <c r="I70" s="453"/>
      <c r="J70" s="454"/>
      <c r="K70" s="455"/>
      <c r="L70" s="929"/>
    </row>
    <row r="71" spans="1:20">
      <c r="B71" s="561"/>
      <c r="C71" s="574"/>
      <c r="G71" s="934"/>
      <c r="I71" s="453"/>
      <c r="J71" s="938" t="s">
        <v>388</v>
      </c>
      <c r="K71" s="578">
        <f>SUM(K68:K70)</f>
        <v>7554399.9999999991</v>
      </c>
      <c r="L71" s="928"/>
      <c r="M71" s="1047"/>
      <c r="N71" s="1045"/>
      <c r="O71" s="1045"/>
      <c r="R71" s="1045"/>
    </row>
    <row r="72" spans="1:20">
      <c r="A72" s="1048"/>
      <c r="B72" s="449" t="s">
        <v>389</v>
      </c>
      <c r="C72" s="568" t="s">
        <v>929</v>
      </c>
      <c r="D72" s="1029"/>
      <c r="E72" s="1029"/>
      <c r="F72" s="1029"/>
      <c r="G72" s="575"/>
      <c r="I72" s="453"/>
      <c r="J72" s="454"/>
      <c r="K72" s="455"/>
      <c r="L72" s="1044"/>
    </row>
    <row r="73" spans="1:20">
      <c r="B73" s="561"/>
      <c r="C73" s="434" t="s">
        <v>1001</v>
      </c>
      <c r="D73" s="814"/>
      <c r="E73" s="814"/>
      <c r="F73" s="814"/>
      <c r="G73" s="435"/>
      <c r="H73" s="272"/>
      <c r="I73" s="436"/>
      <c r="J73" s="432"/>
      <c r="K73" s="455"/>
      <c r="L73" s="929"/>
      <c r="M73" s="429"/>
      <c r="N73" s="816"/>
      <c r="O73" s="816"/>
      <c r="P73" s="816"/>
      <c r="Q73" s="814"/>
      <c r="R73" s="431"/>
      <c r="S73" s="444"/>
      <c r="T73" s="825"/>
    </row>
    <row r="74" spans="1:20">
      <c r="B74" s="561"/>
      <c r="C74" s="434"/>
      <c r="D74" s="814"/>
      <c r="E74" s="814"/>
      <c r="F74" s="814"/>
      <c r="G74" s="435"/>
      <c r="H74" s="272"/>
      <c r="I74" s="436"/>
      <c r="J74" s="432"/>
      <c r="K74" s="455"/>
      <c r="L74" s="929"/>
      <c r="M74" s="434"/>
      <c r="N74" s="415"/>
      <c r="O74" s="415"/>
      <c r="P74" s="415"/>
      <c r="Q74" s="435"/>
      <c r="R74" s="272"/>
      <c r="S74" s="436"/>
      <c r="T74" s="432"/>
    </row>
    <row r="75" spans="1:20">
      <c r="B75" s="561"/>
      <c r="C75" s="434"/>
      <c r="D75" s="814"/>
      <c r="E75" s="814"/>
      <c r="F75" s="814"/>
      <c r="G75" s="435"/>
      <c r="H75" s="272"/>
      <c r="I75" s="436"/>
      <c r="J75" s="432"/>
      <c r="K75" s="455"/>
      <c r="L75" s="929"/>
      <c r="M75" s="434"/>
      <c r="N75" s="415"/>
      <c r="O75" s="415"/>
      <c r="P75" s="415"/>
      <c r="Q75" s="435"/>
      <c r="R75" s="272"/>
      <c r="S75" s="436"/>
      <c r="T75" s="432"/>
    </row>
    <row r="76" spans="1:20">
      <c r="B76" s="576"/>
      <c r="C76" s="574"/>
      <c r="G76" s="575"/>
      <c r="I76" s="453"/>
      <c r="J76" s="454"/>
      <c r="K76" s="455"/>
      <c r="L76" s="929"/>
      <c r="M76" s="434"/>
      <c r="N76" s="415"/>
      <c r="O76" s="415"/>
      <c r="P76" s="415"/>
      <c r="Q76" s="435"/>
      <c r="R76" s="272"/>
      <c r="S76" s="436"/>
      <c r="T76" s="432"/>
    </row>
    <row r="77" spans="1:20">
      <c r="B77" s="561"/>
      <c r="C77" s="574"/>
      <c r="G77" s="934"/>
      <c r="I77" s="453"/>
      <c r="J77" s="938" t="s">
        <v>394</v>
      </c>
      <c r="K77" s="578">
        <f>SUM(K73:K76)</f>
        <v>0</v>
      </c>
      <c r="L77" s="928"/>
      <c r="M77" s="434"/>
      <c r="N77" s="415"/>
      <c r="O77" s="415"/>
      <c r="P77" s="415"/>
      <c r="Q77" s="435"/>
      <c r="R77" s="272"/>
      <c r="S77" s="436"/>
      <c r="T77" s="432"/>
    </row>
    <row r="78" spans="1:20">
      <c r="B78" s="449" t="s">
        <v>395</v>
      </c>
      <c r="C78" s="568" t="s">
        <v>396</v>
      </c>
      <c r="D78" s="1029"/>
      <c r="E78" s="1029"/>
      <c r="F78" s="1029"/>
      <c r="G78" s="575"/>
      <c r="I78" s="453"/>
      <c r="J78" s="454"/>
      <c r="K78" s="455"/>
      <c r="L78" s="1044"/>
      <c r="M78" s="434"/>
      <c r="N78" s="415"/>
      <c r="O78" s="415"/>
      <c r="P78" s="415"/>
      <c r="Q78" s="435"/>
      <c r="R78" s="272"/>
      <c r="S78" s="436"/>
      <c r="T78" s="432"/>
    </row>
    <row r="79" spans="1:20">
      <c r="B79" s="561">
        <v>1</v>
      </c>
      <c r="C79" s="434" t="s">
        <v>397</v>
      </c>
      <c r="D79" s="814"/>
      <c r="E79" s="814"/>
      <c r="F79" s="814"/>
      <c r="G79" s="435"/>
      <c r="H79" s="272" t="s">
        <v>398</v>
      </c>
      <c r="I79" s="453">
        <v>8</v>
      </c>
      <c r="J79" s="432">
        <v>280000</v>
      </c>
      <c r="K79" s="455">
        <f>I79*J79</f>
        <v>2240000</v>
      </c>
      <c r="L79" s="929"/>
      <c r="M79" s="434"/>
      <c r="N79" s="415"/>
      <c r="O79" s="415"/>
      <c r="P79" s="415"/>
      <c r="Q79" s="435"/>
      <c r="R79" s="272"/>
      <c r="S79" s="436"/>
      <c r="T79" s="432"/>
    </row>
    <row r="80" spans="1:20">
      <c r="B80" s="561">
        <f>B79+1</f>
        <v>2</v>
      </c>
      <c r="C80" s="434" t="s">
        <v>399</v>
      </c>
      <c r="D80" s="814"/>
      <c r="E80" s="814"/>
      <c r="F80" s="814"/>
      <c r="G80" s="435"/>
      <c r="H80" s="272" t="s">
        <v>398</v>
      </c>
      <c r="I80" s="453">
        <v>8</v>
      </c>
      <c r="J80" s="432">
        <v>280000</v>
      </c>
      <c r="K80" s="455">
        <f>I80*J80</f>
        <v>2240000</v>
      </c>
      <c r="L80" s="929"/>
      <c r="M80" s="434"/>
      <c r="N80" s="415"/>
      <c r="O80" s="415"/>
      <c r="P80" s="415"/>
      <c r="Q80" s="435"/>
      <c r="R80" s="272"/>
      <c r="S80" s="436"/>
      <c r="T80" s="432"/>
    </row>
    <row r="81" spans="2:20">
      <c r="B81" s="561">
        <f t="shared" ref="B81:B84" si="1">B80+1</f>
        <v>3</v>
      </c>
      <c r="C81" s="434" t="s">
        <v>400</v>
      </c>
      <c r="D81" s="814"/>
      <c r="E81" s="814"/>
      <c r="F81" s="814"/>
      <c r="G81" s="435"/>
      <c r="H81" s="272" t="s">
        <v>380</v>
      </c>
      <c r="I81" s="453">
        <v>1</v>
      </c>
      <c r="J81" s="432">
        <v>1000000</v>
      </c>
      <c r="K81" s="455">
        <f>I81*J81</f>
        <v>1000000</v>
      </c>
      <c r="L81" s="929"/>
      <c r="M81" s="434"/>
      <c r="N81" s="415"/>
      <c r="O81" s="415"/>
      <c r="P81" s="415"/>
      <c r="Q81" s="435"/>
      <c r="R81" s="272"/>
      <c r="S81" s="436"/>
      <c r="T81" s="432"/>
    </row>
    <row r="82" spans="2:20">
      <c r="B82" s="561">
        <f t="shared" si="1"/>
        <v>4</v>
      </c>
      <c r="C82" s="434" t="s">
        <v>401</v>
      </c>
      <c r="D82" s="814"/>
      <c r="E82" s="814"/>
      <c r="F82" s="814"/>
      <c r="G82" s="435"/>
      <c r="H82" s="272" t="s">
        <v>21</v>
      </c>
      <c r="I82" s="453">
        <v>4</v>
      </c>
      <c r="J82" s="432">
        <v>45000</v>
      </c>
      <c r="K82" s="455">
        <f>I82*J82</f>
        <v>180000</v>
      </c>
      <c r="L82" s="929"/>
      <c r="M82" s="434"/>
      <c r="N82" s="415"/>
      <c r="O82" s="415"/>
      <c r="P82" s="415"/>
      <c r="Q82" s="435"/>
      <c r="R82" s="272"/>
      <c r="S82" s="436"/>
      <c r="T82" s="439"/>
    </row>
    <row r="83" spans="2:20">
      <c r="B83" s="561">
        <f t="shared" si="1"/>
        <v>5</v>
      </c>
      <c r="C83" s="434" t="s">
        <v>402</v>
      </c>
      <c r="D83" s="814"/>
      <c r="E83" s="814"/>
      <c r="F83" s="814"/>
      <c r="G83" s="435"/>
      <c r="H83" s="272" t="s">
        <v>21</v>
      </c>
      <c r="I83" s="453">
        <f>I80</f>
        <v>8</v>
      </c>
      <c r="J83" s="432">
        <v>45000</v>
      </c>
      <c r="K83" s="455">
        <f t="shared" ref="K83:K84" si="2">I83*J83</f>
        <v>360000</v>
      </c>
      <c r="L83" s="1044"/>
    </row>
    <row r="84" spans="2:20">
      <c r="B84" s="561">
        <f t="shared" si="1"/>
        <v>6</v>
      </c>
      <c r="C84" s="434" t="s">
        <v>403</v>
      </c>
      <c r="D84" s="814"/>
      <c r="E84" s="814"/>
      <c r="F84" s="814"/>
      <c r="G84" s="435"/>
      <c r="H84" s="272" t="s">
        <v>21</v>
      </c>
      <c r="I84" s="453">
        <f>I79</f>
        <v>8</v>
      </c>
      <c r="J84" s="432">
        <v>120000</v>
      </c>
      <c r="K84" s="455">
        <f t="shared" si="2"/>
        <v>960000</v>
      </c>
      <c r="L84" s="1044"/>
    </row>
    <row r="85" spans="2:20">
      <c r="B85" s="561"/>
      <c r="C85" s="574"/>
      <c r="G85" s="575"/>
      <c r="I85" s="453"/>
      <c r="J85" s="454"/>
      <c r="K85" s="455"/>
      <c r="L85" s="1044"/>
    </row>
    <row r="86" spans="2:20">
      <c r="B86" s="561"/>
      <c r="C86" s="574" t="s">
        <v>652</v>
      </c>
      <c r="G86" s="934"/>
      <c r="I86" s="571"/>
      <c r="J86" s="938" t="s">
        <v>500</v>
      </c>
      <c r="K86" s="578">
        <f>SUM(K79:K84)</f>
        <v>6980000</v>
      </c>
      <c r="L86" s="928"/>
      <c r="M86" s="1045"/>
    </row>
    <row r="87" spans="2:20">
      <c r="B87" s="449" t="s">
        <v>404</v>
      </c>
      <c r="C87" s="568" t="s">
        <v>906</v>
      </c>
      <c r="D87" s="1029"/>
      <c r="E87" s="1029"/>
      <c r="F87" s="1029"/>
      <c r="G87" s="575"/>
      <c r="I87" s="453"/>
      <c r="J87" s="454"/>
      <c r="K87" s="455"/>
      <c r="L87" s="1044"/>
    </row>
    <row r="88" spans="2:20">
      <c r="B88" s="561">
        <v>1</v>
      </c>
      <c r="C88" s="574" t="s">
        <v>586</v>
      </c>
      <c r="G88" s="575"/>
      <c r="H88" s="996" t="s">
        <v>21</v>
      </c>
      <c r="I88" s="453">
        <v>1</v>
      </c>
      <c r="J88" s="454">
        <v>500000</v>
      </c>
      <c r="K88" s="455">
        <f>I88*J88</f>
        <v>500000</v>
      </c>
      <c r="L88" s="929"/>
    </row>
    <row r="89" spans="2:20">
      <c r="B89" s="561">
        <v>2</v>
      </c>
      <c r="C89" s="574" t="s">
        <v>408</v>
      </c>
      <c r="G89" s="575"/>
      <c r="H89" s="996" t="s">
        <v>21</v>
      </c>
      <c r="I89" s="453">
        <v>2</v>
      </c>
      <c r="J89" s="454">
        <v>80000</v>
      </c>
      <c r="K89" s="455">
        <f>I89*J89</f>
        <v>160000</v>
      </c>
      <c r="L89" s="929"/>
    </row>
    <row r="90" spans="2:20">
      <c r="B90" s="561">
        <f>B89+1</f>
        <v>3</v>
      </c>
      <c r="C90" s="574" t="s">
        <v>409</v>
      </c>
      <c r="G90" s="575"/>
      <c r="H90" s="996" t="s">
        <v>21</v>
      </c>
      <c r="I90" s="453">
        <v>1</v>
      </c>
      <c r="J90" s="454">
        <v>150000</v>
      </c>
      <c r="K90" s="455">
        <f>I90*J90</f>
        <v>150000</v>
      </c>
      <c r="L90" s="929"/>
    </row>
    <row r="91" spans="2:20">
      <c r="B91" s="561"/>
      <c r="C91" s="574"/>
      <c r="G91" s="575"/>
      <c r="I91" s="453"/>
      <c r="J91" s="454"/>
      <c r="K91" s="455"/>
      <c r="L91" s="929"/>
    </row>
    <row r="92" spans="2:20">
      <c r="B92" s="561"/>
      <c r="C92" s="574"/>
      <c r="G92" s="934"/>
      <c r="I92" s="453"/>
      <c r="J92" s="938" t="s">
        <v>501</v>
      </c>
      <c r="K92" s="578">
        <f>SUM(K88:K90)</f>
        <v>810000</v>
      </c>
      <c r="L92" s="928"/>
      <c r="M92" s="1045"/>
    </row>
    <row r="93" spans="2:20" ht="16.5" thickBot="1">
      <c r="B93" s="591"/>
      <c r="C93" s="592"/>
      <c r="D93" s="593"/>
      <c r="E93" s="593"/>
      <c r="F93" s="593"/>
      <c r="G93" s="937"/>
      <c r="H93" s="595"/>
      <c r="I93" s="596"/>
      <c r="J93" s="935"/>
      <c r="K93" s="598"/>
      <c r="L93" s="928"/>
      <c r="M93" s="1045"/>
    </row>
    <row r="94" spans="2:20">
      <c r="B94" s="561"/>
      <c r="G94" s="997"/>
      <c r="I94" s="975"/>
      <c r="J94" s="990"/>
      <c r="K94" s="578"/>
      <c r="L94" s="928"/>
      <c r="M94" s="1045"/>
    </row>
    <row r="95" spans="2:20">
      <c r="B95" s="561"/>
      <c r="G95" s="996"/>
      <c r="I95" s="975"/>
      <c r="J95" s="1023" t="s">
        <v>410</v>
      </c>
      <c r="K95" s="599">
        <f>SUM(K14:K92)/2</f>
        <v>170323570</v>
      </c>
      <c r="L95" s="927"/>
      <c r="M95" s="1045"/>
    </row>
    <row r="96" spans="2:20" ht="16.5" thickBot="1">
      <c r="B96" s="600"/>
      <c r="C96" s="602"/>
      <c r="D96" s="602"/>
      <c r="E96" s="602"/>
      <c r="F96" s="602"/>
      <c r="G96" s="602"/>
      <c r="H96" s="604"/>
      <c r="I96" s="989"/>
      <c r="J96" s="988"/>
      <c r="K96" s="607"/>
      <c r="L96" s="1044"/>
    </row>
    <row r="97" spans="8:12" ht="16.5" thickTop="1">
      <c r="I97" s="608"/>
      <c r="J97" s="925"/>
      <c r="K97" s="611"/>
      <c r="L97" s="1044"/>
    </row>
    <row r="98" spans="8:12">
      <c r="I98" s="608"/>
      <c r="J98" s="925"/>
      <c r="K98" s="610"/>
      <c r="L98" s="1044"/>
    </row>
    <row r="99" spans="8:12">
      <c r="I99" s="608"/>
      <c r="J99" s="925"/>
      <c r="K99" s="611"/>
      <c r="L99" s="1044"/>
    </row>
    <row r="100" spans="8:12">
      <c r="I100" s="608"/>
      <c r="J100" s="925"/>
      <c r="K100" s="610"/>
      <c r="L100" s="1044"/>
    </row>
    <row r="101" spans="8:12">
      <c r="I101" s="608"/>
      <c r="J101" s="925"/>
      <c r="K101" s="611"/>
      <c r="L101" s="1044"/>
    </row>
    <row r="102" spans="8:12">
      <c r="I102" s="608"/>
      <c r="J102" s="925"/>
      <c r="K102" s="611"/>
      <c r="L102" s="1044"/>
    </row>
    <row r="103" spans="8:12">
      <c r="I103" s="608"/>
      <c r="J103" s="925"/>
      <c r="K103" s="611"/>
      <c r="L103" s="1044"/>
    </row>
    <row r="104" spans="8:12">
      <c r="I104" s="608"/>
      <c r="J104" s="925"/>
      <c r="K104" s="611"/>
      <c r="L104" s="1044"/>
    </row>
    <row r="105" spans="8:12">
      <c r="I105" s="608"/>
      <c r="J105" s="925"/>
      <c r="K105" s="611"/>
      <c r="L105" s="1044"/>
    </row>
    <row r="106" spans="8:12">
      <c r="I106" s="608"/>
      <c r="J106" s="925"/>
      <c r="K106" s="611"/>
      <c r="L106" s="1044"/>
    </row>
    <row r="107" spans="8:12">
      <c r="I107" s="608"/>
      <c r="J107" s="925"/>
      <c r="K107" s="611"/>
      <c r="L107" s="1044"/>
    </row>
    <row r="108" spans="8:12">
      <c r="I108" s="608"/>
      <c r="J108" s="925"/>
      <c r="K108" s="611"/>
      <c r="L108" s="1044"/>
    </row>
    <row r="109" spans="8:12">
      <c r="I109" s="608"/>
      <c r="J109" s="925"/>
      <c r="K109" s="611"/>
      <c r="L109" s="1044"/>
    </row>
    <row r="111" spans="8:12">
      <c r="H111" s="997"/>
      <c r="K111" s="613"/>
    </row>
    <row r="112" spans="8:12">
      <c r="H112" s="997"/>
      <c r="K112" s="1045"/>
    </row>
    <row r="113" spans="8:11">
      <c r="K113" s="614"/>
    </row>
    <row r="114" spans="8:11">
      <c r="H114" s="997"/>
    </row>
    <row r="119" spans="8:11">
      <c r="H119" s="1052"/>
    </row>
  </sheetData>
  <mergeCells count="1">
    <mergeCell ref="I8:K8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A65C63-3C88-488B-955C-E48ADDC3280F}">
  <sheetPr>
    <tabColor rgb="FFFFFF00"/>
    <pageSetUpPr fitToPage="1"/>
  </sheetPr>
  <dimension ref="A2:L46"/>
  <sheetViews>
    <sheetView workbookViewId="0">
      <selection activeCell="F8" sqref="F8:H8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7.57031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645" t="s">
        <v>0</v>
      </c>
      <c r="C3" s="41"/>
      <c r="E3" s="43"/>
      <c r="F3" s="44"/>
    </row>
    <row r="4" spans="1:12">
      <c r="B4" s="646" t="s">
        <v>614</v>
      </c>
      <c r="C4" s="41"/>
      <c r="E4" s="43"/>
      <c r="F4" s="44"/>
    </row>
    <row r="5" spans="1:12">
      <c r="B5" s="647" t="s">
        <v>1</v>
      </c>
      <c r="C5" s="41"/>
      <c r="E5" s="43"/>
      <c r="F5" s="44"/>
    </row>
    <row r="6" spans="1:12">
      <c r="B6" s="645" t="s">
        <v>2</v>
      </c>
      <c r="C6" s="41"/>
      <c r="E6" s="43"/>
      <c r="F6" s="44"/>
    </row>
    <row r="7" spans="1:12">
      <c r="B7" s="647" t="s">
        <v>3</v>
      </c>
      <c r="C7" s="41"/>
      <c r="E7" s="43"/>
      <c r="F7" s="44"/>
    </row>
    <row r="8" spans="1:12" ht="16.5" thickBot="1">
      <c r="E8" s="648"/>
      <c r="F8" s="1136" t="s">
        <v>909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: Pos Jaga  Blok A</v>
      </c>
      <c r="D13" s="58"/>
      <c r="E13" s="58"/>
      <c r="F13" s="58"/>
      <c r="G13" s="58"/>
      <c r="H13" s="59"/>
    </row>
    <row r="14" spans="1:12" s="649" customFormat="1">
      <c r="A14" s="39"/>
      <c r="B14" s="49"/>
      <c r="C14" s="58"/>
      <c r="D14" s="58"/>
      <c r="E14" s="58"/>
      <c r="F14" s="58"/>
      <c r="G14" s="58"/>
      <c r="H14" s="59"/>
      <c r="I14" s="39"/>
      <c r="J14" s="39"/>
      <c r="K14" s="39"/>
      <c r="L14" s="39"/>
    </row>
    <row r="15" spans="1:12" s="649" customFormat="1">
      <c r="A15" s="39"/>
      <c r="B15" s="61" t="s">
        <v>11</v>
      </c>
      <c r="C15" s="616" t="str">
        <f>'Bq Pos Jaga5x5'!C14</f>
        <v>Pekerjaan Tanah</v>
      </c>
      <c r="D15" s="62"/>
      <c r="E15" s="62"/>
      <c r="F15" s="62"/>
      <c r="G15" s="62"/>
      <c r="H15" s="66">
        <f>'Bq Pos Jaga5x5'!K18</f>
        <v>3275560</v>
      </c>
      <c r="I15" s="39"/>
      <c r="J15" s="39"/>
      <c r="K15" s="39"/>
      <c r="L15" s="39"/>
    </row>
    <row r="16" spans="1:12">
      <c r="B16" s="63"/>
      <c r="C16" s="64"/>
      <c r="D16" s="37"/>
      <c r="E16" s="37"/>
      <c r="F16" s="37"/>
      <c r="G16" s="37"/>
      <c r="H16" s="34"/>
    </row>
    <row r="17" spans="1:12" s="649" customFormat="1">
      <c r="A17" s="39"/>
      <c r="B17" s="61" t="s">
        <v>12</v>
      </c>
      <c r="C17" s="616" t="str">
        <f>'Bq Pos Jaga5x5'!C19</f>
        <v>Pekerjaan Pondasi</v>
      </c>
      <c r="D17" s="62"/>
      <c r="E17" s="62"/>
      <c r="F17" s="62"/>
      <c r="G17" s="62"/>
      <c r="H17" s="66">
        <f>'Bq Pos Jaga5x5'!K22</f>
        <v>9706875</v>
      </c>
      <c r="I17" s="39"/>
      <c r="J17" s="39"/>
      <c r="K17" s="39"/>
      <c r="L17" s="39"/>
    </row>
    <row r="18" spans="1:12" s="649" customFormat="1">
      <c r="A18" s="39"/>
      <c r="B18" s="63"/>
      <c r="C18" s="67"/>
      <c r="D18" s="67"/>
      <c r="E18" s="67"/>
      <c r="F18" s="67"/>
      <c r="G18" s="67"/>
      <c r="H18" s="34"/>
      <c r="I18" s="39"/>
      <c r="J18" s="39"/>
      <c r="K18" s="39"/>
      <c r="L18" s="39"/>
    </row>
    <row r="19" spans="1:12">
      <c r="B19" s="61" t="s">
        <v>16</v>
      </c>
      <c r="C19" s="616" t="str">
        <f>'Bq Pos Jaga5x5'!C23</f>
        <v>Pekerjaan Beton Bertulang</v>
      </c>
      <c r="D19" s="62"/>
      <c r="E19" s="62"/>
      <c r="F19" s="62"/>
      <c r="G19" s="62"/>
      <c r="H19" s="34">
        <f>'Bq Pos Jaga5x5'!K29</f>
        <v>14963750</v>
      </c>
    </row>
    <row r="20" spans="1:12" s="649" customFormat="1">
      <c r="A20" s="39"/>
      <c r="B20" s="63"/>
      <c r="C20" s="64"/>
      <c r="D20" s="37"/>
      <c r="E20" s="37"/>
      <c r="F20" s="37"/>
      <c r="G20" s="37"/>
      <c r="H20" s="65"/>
      <c r="I20" s="39"/>
      <c r="J20" s="39"/>
      <c r="K20" s="39"/>
      <c r="L20" s="39"/>
    </row>
    <row r="21" spans="1:12" s="649" customFormat="1">
      <c r="A21" s="39"/>
      <c r="B21" s="61" t="s">
        <v>19</v>
      </c>
      <c r="C21" s="617" t="str">
        <f>'Bq Pos Jaga5x5'!C30</f>
        <v>Pekerjaan Pasangan Dinding</v>
      </c>
      <c r="D21" s="37"/>
      <c r="E21" s="37"/>
      <c r="F21" s="37"/>
      <c r="G21" s="37"/>
      <c r="H21" s="34">
        <f>'Bq Pos Jaga5x5'!K32</f>
        <v>20854600</v>
      </c>
      <c r="I21" s="39"/>
      <c r="J21" s="39"/>
      <c r="K21" s="39"/>
      <c r="L21" s="39"/>
    </row>
    <row r="22" spans="1:12" s="649" customFormat="1">
      <c r="A22" s="39"/>
      <c r="B22" s="63"/>
      <c r="C22" s="650"/>
      <c r="D22" s="37"/>
      <c r="E22" s="37"/>
      <c r="F22" s="37"/>
      <c r="G22" s="37"/>
      <c r="H22" s="65"/>
      <c r="I22" s="39"/>
      <c r="J22" s="39"/>
      <c r="K22" s="39"/>
      <c r="L22" s="39"/>
    </row>
    <row r="23" spans="1:12">
      <c r="B23" s="63" t="s">
        <v>22</v>
      </c>
      <c r="C23" s="651" t="str">
        <f>'Bq Pos Jaga5x5'!C33</f>
        <v>Pekerjaan Pelapis Dinding</v>
      </c>
      <c r="D23" s="37"/>
      <c r="E23" s="37"/>
      <c r="F23" s="37"/>
      <c r="G23" s="37"/>
      <c r="H23" s="34">
        <f>'Bq Pos Jaga5x5'!K36</f>
        <v>24121300</v>
      </c>
    </row>
    <row r="24" spans="1:12" s="649" customFormat="1">
      <c r="A24" s="39"/>
      <c r="B24" s="63"/>
      <c r="C24" s="36"/>
      <c r="D24" s="37"/>
      <c r="E24" s="37"/>
      <c r="F24" s="37"/>
      <c r="G24" s="37"/>
      <c r="H24" s="34"/>
      <c r="I24" s="39"/>
      <c r="J24" s="39"/>
      <c r="K24" s="39"/>
      <c r="L24" s="39"/>
    </row>
    <row r="25" spans="1:12" s="649" customFormat="1">
      <c r="A25" s="39"/>
      <c r="B25" s="61" t="s">
        <v>25</v>
      </c>
      <c r="C25" s="619" t="str">
        <f>'Bq Pos Jaga5x5'!C37</f>
        <v>Pekerjaan Pengecatan</v>
      </c>
      <c r="D25" s="37"/>
      <c r="E25" s="37"/>
      <c r="F25" s="37"/>
      <c r="G25" s="37"/>
      <c r="H25" s="34">
        <f>'Bq Pos Jaga5x5'!K40</f>
        <v>7218899.9999999991</v>
      </c>
      <c r="I25" s="39"/>
      <c r="J25" s="39"/>
      <c r="K25" s="39"/>
      <c r="L25" s="39"/>
    </row>
    <row r="26" spans="1:12" s="649" customFormat="1">
      <c r="A26" s="39"/>
      <c r="B26" s="63"/>
      <c r="C26" s="36"/>
      <c r="D26" s="67"/>
      <c r="E26" s="37"/>
      <c r="F26" s="37"/>
      <c r="G26" s="37"/>
      <c r="H26" s="34"/>
      <c r="I26" s="39"/>
      <c r="J26" s="39"/>
      <c r="K26" s="39"/>
      <c r="L26" s="39"/>
    </row>
    <row r="27" spans="1:12">
      <c r="B27" s="61" t="s">
        <v>27</v>
      </c>
      <c r="C27" s="619" t="str">
        <f>'Bq Pos Jaga5x5'!C41</f>
        <v>Pekerjaan Pintu Jendela</v>
      </c>
      <c r="D27" s="37"/>
      <c r="E27" s="37"/>
      <c r="F27" s="37"/>
      <c r="G27" s="37"/>
      <c r="H27" s="34">
        <f>'Bq Pos Jaga5x5'!K46</f>
        <v>15000000</v>
      </c>
    </row>
    <row r="28" spans="1:12">
      <c r="B28" s="63"/>
      <c r="C28" s="36"/>
      <c r="D28" s="37"/>
      <c r="E28" s="37"/>
      <c r="F28" s="37"/>
      <c r="G28" s="37"/>
      <c r="H28" s="65"/>
    </row>
    <row r="29" spans="1:12">
      <c r="B29" s="61" t="s">
        <v>28</v>
      </c>
      <c r="C29" s="619" t="str">
        <f>'Bq Pos Jaga5x5'!C47</f>
        <v>Pekerjaan Lantai dan Dinding</v>
      </c>
      <c r="D29" s="37"/>
      <c r="E29" s="37"/>
      <c r="F29" s="37"/>
      <c r="G29" s="37"/>
      <c r="H29" s="34">
        <f>'Bq Pos Jaga5x5'!K52</f>
        <v>14400000</v>
      </c>
    </row>
    <row r="30" spans="1:12">
      <c r="B30" s="63"/>
      <c r="C30" s="36"/>
      <c r="D30" s="37"/>
      <c r="E30" s="37"/>
      <c r="F30" s="37"/>
      <c r="G30" s="37"/>
      <c r="H30" s="34"/>
    </row>
    <row r="31" spans="1:12">
      <c r="B31" s="61" t="s">
        <v>30</v>
      </c>
      <c r="C31" s="619" t="str">
        <f>'Bq Pos Jaga5x5'!C53</f>
        <v>Pekerjaan Sanitary</v>
      </c>
      <c r="D31" s="37"/>
      <c r="E31" s="37"/>
      <c r="F31" s="37"/>
      <c r="G31" s="37"/>
      <c r="H31" s="34">
        <f>'Bq Pos Jaga5x5'!K58</f>
        <v>970000</v>
      </c>
    </row>
    <row r="32" spans="1:12">
      <c r="B32" s="63"/>
      <c r="C32" s="36"/>
      <c r="D32" s="37"/>
      <c r="E32" s="37"/>
      <c r="F32" s="37"/>
      <c r="G32" s="37"/>
      <c r="H32" s="34"/>
    </row>
    <row r="33" spans="2:8">
      <c r="B33" s="61" t="s">
        <v>33</v>
      </c>
      <c r="C33" s="619" t="str">
        <f>'Bq Pos Jaga5x5'!C59</f>
        <v>Pekerjaan Atap Spandek</v>
      </c>
      <c r="D33" s="37"/>
      <c r="E33" s="37"/>
      <c r="F33" s="37"/>
      <c r="G33" s="37"/>
      <c r="H33" s="34">
        <f>'Bq Pos Jaga5x5'!K62</f>
        <v>25700000</v>
      </c>
    </row>
    <row r="34" spans="2:8">
      <c r="B34" s="63"/>
      <c r="C34" s="36"/>
      <c r="D34" s="37"/>
      <c r="E34" s="37"/>
      <c r="F34" s="37"/>
      <c r="G34" s="37"/>
      <c r="H34" s="65"/>
    </row>
    <row r="35" spans="2:8">
      <c r="B35" s="61" t="s">
        <v>34</v>
      </c>
      <c r="C35" s="619" t="str">
        <f>'Bq Pos Jaga5x5'!C64</f>
        <v>Pekerjaan Plumbing</v>
      </c>
      <c r="D35" s="37"/>
      <c r="E35" s="37"/>
      <c r="F35" s="37"/>
      <c r="G35" s="37"/>
      <c r="H35" s="34">
        <f>'Bq Pos Jaga5x5'!K68</f>
        <v>0</v>
      </c>
    </row>
    <row r="36" spans="2:8">
      <c r="B36" s="63"/>
      <c r="C36" s="36"/>
      <c r="D36" s="37"/>
      <c r="E36" s="37"/>
      <c r="F36" s="37"/>
      <c r="G36" s="37"/>
      <c r="H36" s="34"/>
    </row>
    <row r="37" spans="2:8">
      <c r="B37" s="61" t="s">
        <v>36</v>
      </c>
      <c r="C37" s="619" t="str">
        <f>'Bq Pos Jaga5x5'!C69</f>
        <v>Pekerjaan Listrik</v>
      </c>
      <c r="D37" s="37"/>
      <c r="E37" s="37"/>
      <c r="F37" s="37"/>
      <c r="G37" s="37"/>
      <c r="H37" s="34">
        <f>'Bq Pos Jaga5x5'!K75</f>
        <v>0</v>
      </c>
    </row>
    <row r="38" spans="2:8">
      <c r="B38" s="63"/>
      <c r="C38" s="36"/>
      <c r="D38" s="37"/>
      <c r="E38" s="37"/>
      <c r="F38" s="37"/>
      <c r="G38" s="37"/>
      <c r="H38" s="65"/>
    </row>
    <row r="39" spans="2:8" ht="16.5" thickBot="1">
      <c r="B39" s="69"/>
      <c r="C39" s="70"/>
      <c r="D39" s="70"/>
      <c r="E39" s="70"/>
      <c r="F39" s="70"/>
      <c r="G39" s="70"/>
      <c r="H39" s="71"/>
    </row>
    <row r="40" spans="2:8" ht="17.25" thickTop="1" thickBot="1">
      <c r="B40" s="72"/>
      <c r="C40" s="73"/>
      <c r="D40" s="73"/>
      <c r="E40" s="73"/>
      <c r="F40" s="74" t="s">
        <v>41</v>
      </c>
      <c r="G40" s="74"/>
      <c r="H40" s="75">
        <f>SUM(H15:H39)</f>
        <v>136210985</v>
      </c>
    </row>
    <row r="41" spans="2:8" ht="16.5" thickTop="1">
      <c r="B41" s="76"/>
      <c r="C41" s="77"/>
      <c r="D41" s="77"/>
      <c r="E41" s="77"/>
      <c r="F41" s="77"/>
      <c r="G41" s="77"/>
      <c r="H41" s="78"/>
    </row>
    <row r="42" spans="2:8">
      <c r="B42" s="79"/>
      <c r="C42" s="56"/>
      <c r="D42" s="56"/>
      <c r="E42" s="58"/>
      <c r="F42" s="40" t="s">
        <v>910</v>
      </c>
      <c r="G42" s="43">
        <v>3</v>
      </c>
      <c r="H42" s="835">
        <f>H40*G42</f>
        <v>408632955</v>
      </c>
    </row>
    <row r="43" spans="2:8">
      <c r="B43" s="81"/>
      <c r="C43" s="41"/>
      <c r="E43" s="44"/>
      <c r="H43" s="82"/>
    </row>
    <row r="44" spans="2:8">
      <c r="B44" s="81"/>
      <c r="C44" s="41"/>
      <c r="E44" s="44"/>
      <c r="H44" s="652"/>
    </row>
    <row r="45" spans="2:8" ht="16.5" thickBot="1">
      <c r="B45" s="84"/>
      <c r="C45" s="85"/>
      <c r="D45" s="85"/>
      <c r="E45" s="85"/>
      <c r="F45" s="85"/>
      <c r="G45" s="85"/>
      <c r="H45" s="86"/>
    </row>
    <row r="46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BAC406-DCD0-45CD-89C6-30DD6D245C0A}">
  <dimension ref="B2:M84"/>
  <sheetViews>
    <sheetView topLeftCell="A43" workbookViewId="0">
      <selection activeCell="G69" sqref="G69"/>
    </sheetView>
  </sheetViews>
  <sheetFormatPr defaultColWidth="8.85546875" defaultRowHeight="15"/>
  <cols>
    <col min="1" max="6" width="8.85546875" style="689"/>
    <col min="7" max="7" width="34.85546875" style="689" customWidth="1"/>
    <col min="8" max="9" width="8.85546875" style="689"/>
    <col min="10" max="10" width="12.28515625" style="689" bestFit="1" customWidth="1"/>
    <col min="11" max="11" width="15.5703125" style="712" customWidth="1"/>
    <col min="12" max="16384" width="8.85546875" style="689"/>
  </cols>
  <sheetData>
    <row r="2" spans="2:11" ht="15.75">
      <c r="B2" s="687" t="s">
        <v>0</v>
      </c>
      <c r="C2" s="2"/>
      <c r="D2" s="1"/>
      <c r="E2" s="5"/>
      <c r="F2" s="6"/>
      <c r="G2" s="1"/>
      <c r="H2" s="1"/>
      <c r="I2" s="1"/>
      <c r="J2" s="688"/>
      <c r="K2" s="688"/>
    </row>
    <row r="3" spans="2:11" ht="15.75">
      <c r="B3" s="646" t="s">
        <v>614</v>
      </c>
      <c r="C3" s="2"/>
      <c r="D3" s="1"/>
      <c r="E3" s="5"/>
      <c r="F3" s="6"/>
      <c r="G3" s="1"/>
      <c r="H3" s="1"/>
      <c r="I3" s="1"/>
      <c r="J3" s="688"/>
      <c r="K3" s="688"/>
    </row>
    <row r="4" spans="2:11" ht="15.75">
      <c r="B4" s="690" t="s">
        <v>1</v>
      </c>
      <c r="C4" s="2"/>
      <c r="D4" s="1"/>
      <c r="E4" s="5"/>
      <c r="F4" s="6"/>
      <c r="G4" s="1"/>
      <c r="H4" s="1"/>
      <c r="I4" s="1"/>
      <c r="J4" s="688"/>
      <c r="K4" s="688"/>
    </row>
    <row r="5" spans="2:11" ht="15.75">
      <c r="B5" s="687" t="s">
        <v>2</v>
      </c>
      <c r="C5" s="2"/>
      <c r="D5" s="1"/>
      <c r="E5" s="5"/>
      <c r="F5" s="6"/>
      <c r="G5" s="1"/>
      <c r="H5" s="1"/>
      <c r="I5" s="1"/>
      <c r="J5" s="688"/>
      <c r="K5" s="688"/>
    </row>
    <row r="6" spans="2:11" ht="15.75">
      <c r="B6" s="690" t="s">
        <v>3</v>
      </c>
      <c r="C6" s="2"/>
      <c r="D6" s="1"/>
      <c r="E6" s="5"/>
      <c r="F6" s="6"/>
      <c r="G6" s="1"/>
      <c r="H6" s="1"/>
      <c r="I6" s="1"/>
      <c r="J6" s="688"/>
      <c r="K6" s="688"/>
    </row>
    <row r="7" spans="2:11" ht="16.5" thickBot="1">
      <c r="B7" s="1"/>
      <c r="C7" s="1"/>
      <c r="D7" s="1"/>
      <c r="E7" s="1"/>
      <c r="F7" s="1"/>
      <c r="G7" s="1"/>
      <c r="H7" s="1"/>
      <c r="I7" s="1136" t="s">
        <v>909</v>
      </c>
      <c r="J7" s="1136"/>
      <c r="K7" s="1136"/>
    </row>
    <row r="8" spans="2:11" ht="16.5" thickTop="1">
      <c r="B8" s="8"/>
      <c r="C8" s="9"/>
      <c r="D8" s="9"/>
      <c r="E8" s="9"/>
      <c r="F8" s="9"/>
      <c r="G8" s="9"/>
      <c r="H8" s="10"/>
      <c r="I8" s="11"/>
      <c r="J8" s="691" t="s">
        <v>4</v>
      </c>
      <c r="K8" s="692" t="s">
        <v>5</v>
      </c>
    </row>
    <row r="9" spans="2:11" ht="15.75">
      <c r="B9" s="14" t="s">
        <v>6</v>
      </c>
      <c r="C9" s="15" t="s">
        <v>7</v>
      </c>
      <c r="D9" s="15"/>
      <c r="E9" s="15"/>
      <c r="F9" s="15"/>
      <c r="G9" s="15"/>
      <c r="H9" s="16" t="s">
        <v>8</v>
      </c>
      <c r="I9" s="17" t="s">
        <v>9</v>
      </c>
      <c r="J9" s="693" t="s">
        <v>8</v>
      </c>
      <c r="K9" s="694" t="s">
        <v>4</v>
      </c>
    </row>
    <row r="10" spans="2:11" ht="16.5" thickBot="1">
      <c r="B10" s="20"/>
      <c r="C10" s="21"/>
      <c r="D10" s="21"/>
      <c r="E10" s="21"/>
      <c r="F10" s="21"/>
      <c r="G10" s="21"/>
      <c r="H10" s="22"/>
      <c r="I10" s="23"/>
      <c r="J10" s="695" t="s">
        <v>10</v>
      </c>
      <c r="K10" s="696" t="s">
        <v>10</v>
      </c>
    </row>
    <row r="11" spans="2:11" ht="16.5" thickTop="1">
      <c r="B11" s="623"/>
      <c r="C11" s="26"/>
      <c r="D11" s="26"/>
      <c r="E11" s="26"/>
      <c r="F11" s="26"/>
      <c r="G11" s="26"/>
      <c r="H11" s="27"/>
      <c r="I11" s="28"/>
      <c r="J11" s="697"/>
      <c r="K11" s="698"/>
    </row>
    <row r="12" spans="2:11" ht="15.75">
      <c r="B12" s="14"/>
      <c r="C12" s="687" t="s">
        <v>589</v>
      </c>
      <c r="D12" s="30"/>
      <c r="E12" s="30"/>
      <c r="F12" s="30"/>
      <c r="G12" s="30"/>
      <c r="H12" s="16"/>
      <c r="I12" s="31"/>
      <c r="J12" s="699"/>
      <c r="K12" s="700"/>
    </row>
    <row r="13" spans="2:11" ht="15.75">
      <c r="B13" s="14"/>
      <c r="C13" s="30"/>
      <c r="D13" s="30"/>
      <c r="E13" s="30"/>
      <c r="F13" s="30"/>
      <c r="G13" s="30"/>
      <c r="H13" s="16"/>
      <c r="I13" s="31"/>
      <c r="J13" s="699"/>
      <c r="K13" s="700"/>
    </row>
    <row r="14" spans="2:11" ht="15.75">
      <c r="B14" s="14" t="s">
        <v>11</v>
      </c>
      <c r="C14" s="701" t="s">
        <v>13</v>
      </c>
      <c r="D14" s="701"/>
      <c r="E14" s="701"/>
      <c r="F14" s="701"/>
      <c r="G14" s="701"/>
      <c r="H14" s="16"/>
      <c r="I14" s="31"/>
      <c r="J14" s="699"/>
      <c r="K14" s="700"/>
    </row>
    <row r="15" spans="2:11" ht="15.75">
      <c r="B15" s="627">
        <v>1</v>
      </c>
      <c r="C15" s="702" t="s">
        <v>590</v>
      </c>
      <c r="D15" s="701"/>
      <c r="E15" s="701"/>
      <c r="F15" s="701"/>
      <c r="G15" s="701"/>
      <c r="H15" s="629" t="s">
        <v>18</v>
      </c>
      <c r="I15" s="28">
        <v>1</v>
      </c>
      <c r="J15" s="703">
        <v>1000000</v>
      </c>
      <c r="K15" s="698">
        <f>J15*I15</f>
        <v>1000000</v>
      </c>
    </row>
    <row r="16" spans="2:11" ht="15.75">
      <c r="B16" s="627">
        <f>B15+1</f>
        <v>2</v>
      </c>
      <c r="C16" s="702" t="s">
        <v>503</v>
      </c>
      <c r="D16" s="702"/>
      <c r="E16" s="702"/>
      <c r="F16" s="702"/>
      <c r="G16" s="702"/>
      <c r="H16" s="629" t="s">
        <v>15</v>
      </c>
      <c r="I16" s="28">
        <v>15.802499999999998</v>
      </c>
      <c r="J16" s="703">
        <v>120000</v>
      </c>
      <c r="K16" s="698">
        <f>J16*I16</f>
        <v>1896299.9999999998</v>
      </c>
    </row>
    <row r="17" spans="2:11" ht="15.75">
      <c r="B17" s="627">
        <f>B16+1</f>
        <v>3</v>
      </c>
      <c r="C17" s="702" t="s">
        <v>528</v>
      </c>
      <c r="D17" s="702"/>
      <c r="E17" s="702"/>
      <c r="F17" s="702"/>
      <c r="G17" s="702"/>
      <c r="H17" s="629" t="s">
        <v>15</v>
      </c>
      <c r="I17" s="28">
        <v>6.3209999999999997</v>
      </c>
      <c r="J17" s="703">
        <v>60000</v>
      </c>
      <c r="K17" s="698">
        <f>J17*I17</f>
        <v>379260</v>
      </c>
    </row>
    <row r="18" spans="2:11" ht="15.75">
      <c r="B18" s="14"/>
      <c r="C18" s="701"/>
      <c r="D18" s="701"/>
      <c r="E18" s="701"/>
      <c r="F18" s="701"/>
      <c r="G18" s="701"/>
      <c r="H18" s="16"/>
      <c r="I18" s="28"/>
      <c r="J18" s="704" t="s">
        <v>348</v>
      </c>
      <c r="K18" s="700">
        <f>SUM(K15:K17)</f>
        <v>3275560</v>
      </c>
    </row>
    <row r="19" spans="2:11" ht="15.75">
      <c r="B19" s="14" t="s">
        <v>12</v>
      </c>
      <c r="C19" s="701" t="s">
        <v>505</v>
      </c>
      <c r="D19" s="701"/>
      <c r="E19" s="701"/>
      <c r="F19" s="701"/>
      <c r="G19" s="701"/>
      <c r="H19" s="16"/>
      <c r="I19" s="28"/>
      <c r="J19" s="703"/>
      <c r="K19" s="698"/>
    </row>
    <row r="20" spans="2:11" ht="15.75">
      <c r="B20" s="627">
        <v>1</v>
      </c>
      <c r="C20" s="702" t="s">
        <v>211</v>
      </c>
      <c r="D20" s="702"/>
      <c r="E20" s="702"/>
      <c r="F20" s="702"/>
      <c r="G20" s="702"/>
      <c r="H20" s="27" t="s">
        <v>15</v>
      </c>
      <c r="I20" s="28">
        <v>6.2625000000000002</v>
      </c>
      <c r="J20" s="703">
        <v>1100000</v>
      </c>
      <c r="K20" s="698">
        <f>J20*I20</f>
        <v>6888750</v>
      </c>
    </row>
    <row r="21" spans="2:11" ht="15.75">
      <c r="B21" s="627">
        <f>B20+1</f>
        <v>2</v>
      </c>
      <c r="C21" s="702" t="s">
        <v>508</v>
      </c>
      <c r="D21" s="702"/>
      <c r="E21" s="702"/>
      <c r="F21" s="702"/>
      <c r="G21" s="702"/>
      <c r="H21" s="27" t="s">
        <v>15</v>
      </c>
      <c r="I21" s="28">
        <v>0.62624999999999997</v>
      </c>
      <c r="J21" s="703">
        <v>4500000</v>
      </c>
      <c r="K21" s="698">
        <f>J21*I21</f>
        <v>2818125</v>
      </c>
    </row>
    <row r="22" spans="2:11" ht="15.75">
      <c r="B22" s="14"/>
      <c r="C22" s="701"/>
      <c r="D22" s="701"/>
      <c r="E22" s="701"/>
      <c r="F22" s="701"/>
      <c r="G22" s="701"/>
      <c r="H22" s="27"/>
      <c r="I22" s="28"/>
      <c r="J22" s="704" t="s">
        <v>353</v>
      </c>
      <c r="K22" s="700">
        <f>SUM(K20:K21)</f>
        <v>9706875</v>
      </c>
    </row>
    <row r="23" spans="2:11" ht="15.75">
      <c r="B23" s="14" t="s">
        <v>16</v>
      </c>
      <c r="C23" s="701" t="s">
        <v>509</v>
      </c>
      <c r="D23" s="701"/>
      <c r="E23" s="701"/>
      <c r="F23" s="701"/>
      <c r="G23" s="701"/>
      <c r="H23" s="27"/>
      <c r="I23" s="28"/>
      <c r="J23" s="703"/>
      <c r="K23" s="698"/>
    </row>
    <row r="24" spans="2:11" ht="15.75">
      <c r="B24" s="14"/>
      <c r="C24" s="702" t="s">
        <v>530</v>
      </c>
      <c r="D24" s="701"/>
      <c r="E24" s="701"/>
      <c r="F24" s="701"/>
      <c r="G24" s="701"/>
      <c r="H24" s="27"/>
      <c r="I24" s="28"/>
      <c r="J24" s="703"/>
      <c r="K24" s="698"/>
    </row>
    <row r="25" spans="2:11" ht="15.75">
      <c r="B25" s="627">
        <v>1</v>
      </c>
      <c r="C25" s="702" t="s">
        <v>510</v>
      </c>
      <c r="D25" s="702"/>
      <c r="E25" s="702"/>
      <c r="F25" s="702"/>
      <c r="G25" s="702"/>
      <c r="H25" s="27" t="s">
        <v>15</v>
      </c>
      <c r="I25" s="28">
        <v>0.83200000000000018</v>
      </c>
      <c r="J25" s="703">
        <v>5000000</v>
      </c>
      <c r="K25" s="698">
        <f>J25*I25</f>
        <v>4160000.0000000009</v>
      </c>
    </row>
    <row r="26" spans="2:11" ht="15.75">
      <c r="B26" s="627">
        <f>B25+1</f>
        <v>2</v>
      </c>
      <c r="C26" s="702" t="s">
        <v>511</v>
      </c>
      <c r="D26" s="702"/>
      <c r="E26" s="702"/>
      <c r="F26" s="702"/>
      <c r="G26" s="702"/>
      <c r="H26" s="27" t="s">
        <v>15</v>
      </c>
      <c r="I26" s="28">
        <v>0.37574999999999997</v>
      </c>
      <c r="J26" s="703">
        <v>5000000</v>
      </c>
      <c r="K26" s="698">
        <f>J26*I26</f>
        <v>1878749.9999999998</v>
      </c>
    </row>
    <row r="27" spans="2:11" ht="15.75">
      <c r="B27" s="705">
        <f>B26+1</f>
        <v>3</v>
      </c>
      <c r="C27" s="706" t="s">
        <v>591</v>
      </c>
      <c r="D27" s="706"/>
      <c r="E27" s="706"/>
      <c r="F27" s="706"/>
      <c r="G27" s="706"/>
      <c r="H27" s="27" t="s">
        <v>15</v>
      </c>
      <c r="I27" s="28">
        <v>0.58499999999999996</v>
      </c>
      <c r="J27" s="703">
        <v>5000000</v>
      </c>
      <c r="K27" s="698">
        <f>J27*I27</f>
        <v>2925000</v>
      </c>
    </row>
    <row r="28" spans="2:11" ht="15.75">
      <c r="B28" s="705">
        <f>B27+1</f>
        <v>4</v>
      </c>
      <c r="C28" s="706" t="e">
        <f>#REF!</f>
        <v>#REF!</v>
      </c>
      <c r="D28" s="706"/>
      <c r="E28" s="706"/>
      <c r="F28" s="706"/>
      <c r="G28" s="706"/>
      <c r="H28" s="27" t="s">
        <v>15</v>
      </c>
      <c r="I28" s="28">
        <v>1.2</v>
      </c>
      <c r="J28" s="703">
        <v>5000000</v>
      </c>
      <c r="K28" s="698">
        <f>J28*I28</f>
        <v>6000000</v>
      </c>
    </row>
    <row r="29" spans="2:11" ht="15.75">
      <c r="B29" s="705"/>
      <c r="C29" s="706"/>
      <c r="D29" s="706"/>
      <c r="E29" s="706"/>
      <c r="F29" s="706"/>
      <c r="G29" s="706"/>
      <c r="H29" s="27"/>
      <c r="I29" s="28"/>
      <c r="J29" s="704" t="s">
        <v>358</v>
      </c>
      <c r="K29" s="700">
        <f>SUM(K25:K28)</f>
        <v>14963750</v>
      </c>
    </row>
    <row r="30" spans="2:11" ht="15.75">
      <c r="B30" s="14" t="s">
        <v>19</v>
      </c>
      <c r="C30" s="701" t="s">
        <v>592</v>
      </c>
      <c r="D30" s="701"/>
      <c r="E30" s="701"/>
      <c r="F30" s="701"/>
      <c r="G30" s="701"/>
      <c r="H30" s="27"/>
      <c r="I30" s="28"/>
      <c r="J30" s="703"/>
      <c r="K30" s="698"/>
    </row>
    <row r="31" spans="2:11" ht="15.75">
      <c r="B31" s="627">
        <v>1</v>
      </c>
      <c r="C31" s="702" t="s">
        <v>593</v>
      </c>
      <c r="D31" s="702"/>
      <c r="E31" s="702"/>
      <c r="F31" s="702"/>
      <c r="G31" s="702"/>
      <c r="H31" s="27" t="s">
        <v>14</v>
      </c>
      <c r="I31" s="28">
        <v>80.209999999999994</v>
      </c>
      <c r="J31" s="703">
        <v>260000</v>
      </c>
      <c r="K31" s="698">
        <f>J31*I31</f>
        <v>20854600</v>
      </c>
    </row>
    <row r="32" spans="2:11" ht="15.75">
      <c r="B32" s="705"/>
      <c r="C32" s="706"/>
      <c r="D32" s="706"/>
      <c r="E32" s="706"/>
      <c r="F32" s="706"/>
      <c r="G32" s="706"/>
      <c r="H32" s="27"/>
      <c r="I32" s="28"/>
      <c r="J32" s="704" t="s">
        <v>361</v>
      </c>
      <c r="K32" s="700">
        <f>SUM(K31:K31)</f>
        <v>20854600</v>
      </c>
    </row>
    <row r="33" spans="2:11" ht="15.75">
      <c r="B33" s="14" t="s">
        <v>22</v>
      </c>
      <c r="C33" s="701" t="s">
        <v>537</v>
      </c>
      <c r="D33" s="706"/>
      <c r="E33" s="706"/>
      <c r="F33" s="706"/>
      <c r="G33" s="706"/>
      <c r="H33" s="27"/>
      <c r="I33" s="28"/>
      <c r="J33" s="703"/>
      <c r="K33" s="698"/>
    </row>
    <row r="34" spans="2:11" ht="15.75">
      <c r="B34" s="705">
        <v>1</v>
      </c>
      <c r="C34" s="706" t="s">
        <v>538</v>
      </c>
      <c r="D34" s="706"/>
      <c r="E34" s="706"/>
      <c r="F34" s="706"/>
      <c r="G34" s="706"/>
      <c r="H34" s="27" t="s">
        <v>14</v>
      </c>
      <c r="I34" s="28">
        <v>160.41999999999999</v>
      </c>
      <c r="J34" s="703">
        <v>140000</v>
      </c>
      <c r="K34" s="698">
        <f>J34*I34</f>
        <v>22458800</v>
      </c>
    </row>
    <row r="35" spans="2:11" ht="15.75">
      <c r="B35" s="705">
        <f>B34+1</f>
        <v>2</v>
      </c>
      <c r="C35" s="706" t="s">
        <v>594</v>
      </c>
      <c r="D35" s="706"/>
      <c r="E35" s="706"/>
      <c r="F35" s="706"/>
      <c r="G35" s="706"/>
      <c r="H35" s="27" t="s">
        <v>14</v>
      </c>
      <c r="I35" s="28">
        <v>11.875</v>
      </c>
      <c r="J35" s="703">
        <v>140000</v>
      </c>
      <c r="K35" s="698">
        <f>J35*I35</f>
        <v>1662500</v>
      </c>
    </row>
    <row r="36" spans="2:11" ht="15.75">
      <c r="B36" s="705"/>
      <c r="C36" s="706"/>
      <c r="D36" s="706"/>
      <c r="E36" s="706"/>
      <c r="F36" s="706"/>
      <c r="G36" s="706"/>
      <c r="H36" s="27"/>
      <c r="I36" s="28"/>
      <c r="J36" s="704" t="s">
        <v>365</v>
      </c>
      <c r="K36" s="700">
        <f>SUM(K34:K35)</f>
        <v>24121300</v>
      </c>
    </row>
    <row r="37" spans="2:11" ht="15.75">
      <c r="B37" s="14" t="s">
        <v>25</v>
      </c>
      <c r="C37" s="701" t="s">
        <v>575</v>
      </c>
      <c r="D37" s="706"/>
      <c r="E37" s="706"/>
      <c r="F37" s="706"/>
      <c r="G37" s="706"/>
      <c r="H37" s="27"/>
      <c r="I37" s="28"/>
      <c r="J37" s="703"/>
      <c r="K37" s="698"/>
    </row>
    <row r="38" spans="2:11" ht="15.75">
      <c r="B38" s="14"/>
      <c r="C38" s="702" t="s">
        <v>541</v>
      </c>
      <c r="D38" s="706"/>
      <c r="E38" s="706"/>
      <c r="F38" s="706"/>
      <c r="G38" s="706"/>
      <c r="H38" s="27"/>
      <c r="I38" s="28"/>
      <c r="J38" s="703"/>
      <c r="K38" s="698"/>
    </row>
    <row r="39" spans="2:11" ht="15.75">
      <c r="B39" s="705">
        <v>1</v>
      </c>
      <c r="C39" s="706" t="s">
        <v>542</v>
      </c>
      <c r="D39" s="706"/>
      <c r="E39" s="706"/>
      <c r="F39" s="706"/>
      <c r="G39" s="706"/>
      <c r="H39" s="27" t="s">
        <v>14</v>
      </c>
      <c r="I39" s="28">
        <v>160.41999999999999</v>
      </c>
      <c r="J39" s="703">
        <v>45000</v>
      </c>
      <c r="K39" s="698">
        <f>J39*I39</f>
        <v>7218899.9999999991</v>
      </c>
    </row>
    <row r="40" spans="2:11" ht="15.75">
      <c r="B40" s="705"/>
      <c r="C40" s="706"/>
      <c r="D40" s="706"/>
      <c r="E40" s="706"/>
      <c r="F40" s="706"/>
      <c r="G40" s="706"/>
      <c r="H40" s="27"/>
      <c r="I40" s="28"/>
      <c r="J40" s="704" t="s">
        <v>368</v>
      </c>
      <c r="K40" s="700">
        <f>SUM(K39:K39)</f>
        <v>7218899.9999999991</v>
      </c>
    </row>
    <row r="41" spans="2:11" ht="15.75">
      <c r="B41" s="14" t="s">
        <v>27</v>
      </c>
      <c r="C41" s="701" t="s">
        <v>545</v>
      </c>
      <c r="D41" s="706"/>
      <c r="E41" s="706"/>
      <c r="F41" s="706"/>
      <c r="G41" s="706"/>
      <c r="H41" s="27"/>
      <c r="I41" s="28"/>
      <c r="J41" s="703"/>
      <c r="K41" s="698"/>
    </row>
    <row r="42" spans="2:11" ht="15.75">
      <c r="B42" s="705">
        <f>B39+1</f>
        <v>2</v>
      </c>
      <c r="C42" s="706" t="s">
        <v>595</v>
      </c>
      <c r="D42" s="706"/>
      <c r="E42" s="706"/>
      <c r="F42" s="706"/>
      <c r="G42" s="706"/>
      <c r="H42" s="27" t="s">
        <v>32</v>
      </c>
      <c r="I42" s="28">
        <v>1</v>
      </c>
      <c r="J42" s="703">
        <v>3500000</v>
      </c>
      <c r="K42" s="698">
        <f>J42*I42</f>
        <v>3500000</v>
      </c>
    </row>
    <row r="43" spans="2:11" ht="15.75">
      <c r="B43" s="705">
        <f>B42+1</f>
        <v>3</v>
      </c>
      <c r="C43" s="706" t="s">
        <v>596</v>
      </c>
      <c r="D43" s="706"/>
      <c r="E43" s="706"/>
      <c r="F43" s="706"/>
      <c r="G43" s="706"/>
      <c r="H43" s="27" t="s">
        <v>32</v>
      </c>
      <c r="I43" s="28">
        <v>1</v>
      </c>
      <c r="J43" s="703">
        <v>2800000</v>
      </c>
      <c r="K43" s="698">
        <f>J43*I43</f>
        <v>2800000</v>
      </c>
    </row>
    <row r="44" spans="2:11" ht="15.75">
      <c r="B44" s="705">
        <f>B43+1</f>
        <v>4</v>
      </c>
      <c r="C44" s="706" t="s">
        <v>597</v>
      </c>
      <c r="D44" s="706"/>
      <c r="E44" s="706"/>
      <c r="F44" s="706"/>
      <c r="G44" s="706"/>
      <c r="H44" s="27" t="s">
        <v>14</v>
      </c>
      <c r="I44" s="28">
        <v>18.5</v>
      </c>
      <c r="J44" s="703">
        <v>400000</v>
      </c>
      <c r="K44" s="698">
        <f>J44*I44</f>
        <v>7400000</v>
      </c>
    </row>
    <row r="45" spans="2:11" ht="15.75">
      <c r="B45" s="705">
        <f>B44+1</f>
        <v>5</v>
      </c>
      <c r="C45" s="706" t="s">
        <v>598</v>
      </c>
      <c r="D45" s="706"/>
      <c r="E45" s="706"/>
      <c r="F45" s="706"/>
      <c r="G45" s="706"/>
      <c r="H45" s="27" t="s">
        <v>32</v>
      </c>
      <c r="I45" s="28">
        <v>2</v>
      </c>
      <c r="J45" s="703">
        <v>650000</v>
      </c>
      <c r="K45" s="698">
        <f>J45*I45</f>
        <v>1300000</v>
      </c>
    </row>
    <row r="46" spans="2:11" ht="15.75">
      <c r="B46" s="705"/>
      <c r="C46" s="706"/>
      <c r="D46" s="706"/>
      <c r="E46" s="706"/>
      <c r="F46" s="706"/>
      <c r="G46" s="706"/>
      <c r="H46" s="27"/>
      <c r="I46" s="28"/>
      <c r="J46" s="704" t="s">
        <v>371</v>
      </c>
      <c r="K46" s="700">
        <f>SUM(K42:K45)</f>
        <v>15000000</v>
      </c>
    </row>
    <row r="47" spans="2:11" ht="15.75">
      <c r="B47" s="14" t="s">
        <v>28</v>
      </c>
      <c r="C47" s="701" t="s">
        <v>599</v>
      </c>
      <c r="D47" s="706"/>
      <c r="E47" s="706"/>
      <c r="F47" s="706"/>
      <c r="G47" s="706"/>
      <c r="H47" s="27"/>
      <c r="I47" s="28"/>
      <c r="J47" s="704"/>
      <c r="K47" s="700"/>
    </row>
    <row r="48" spans="2:11" ht="15.75">
      <c r="B48" s="705">
        <v>1</v>
      </c>
      <c r="C48" s="706" t="s">
        <v>600</v>
      </c>
      <c r="D48" s="706"/>
      <c r="E48" s="706"/>
      <c r="F48" s="706"/>
      <c r="G48" s="706"/>
      <c r="H48" s="27" t="s">
        <v>14</v>
      </c>
      <c r="I48" s="28">
        <v>33</v>
      </c>
      <c r="J48" s="707">
        <v>220000</v>
      </c>
      <c r="K48" s="698">
        <f>J48*I48</f>
        <v>7260000</v>
      </c>
    </row>
    <row r="49" spans="2:11" ht="15.75">
      <c r="B49" s="705">
        <f>B48+1</f>
        <v>2</v>
      </c>
      <c r="C49" s="706" t="s">
        <v>601</v>
      </c>
      <c r="D49" s="706"/>
      <c r="E49" s="706"/>
      <c r="F49" s="706"/>
      <c r="G49" s="706"/>
      <c r="H49" s="27" t="s">
        <v>14</v>
      </c>
      <c r="I49" s="28">
        <v>4.5</v>
      </c>
      <c r="J49" s="707">
        <v>180000</v>
      </c>
      <c r="K49" s="698">
        <f>J49*I49</f>
        <v>810000</v>
      </c>
    </row>
    <row r="50" spans="2:11" ht="15.75">
      <c r="B50" s="705">
        <f>B49+1</f>
        <v>3</v>
      </c>
      <c r="C50" s="706" t="s">
        <v>602</v>
      </c>
      <c r="D50" s="706"/>
      <c r="E50" s="706"/>
      <c r="F50" s="706"/>
      <c r="G50" s="706"/>
      <c r="H50" s="27" t="s">
        <v>14</v>
      </c>
      <c r="I50" s="28">
        <v>13.5</v>
      </c>
      <c r="J50" s="707">
        <v>180000</v>
      </c>
      <c r="K50" s="698">
        <f>J50*I50</f>
        <v>2430000</v>
      </c>
    </row>
    <row r="51" spans="2:11" ht="15.75">
      <c r="B51" s="705">
        <f>B50+1</f>
        <v>4</v>
      </c>
      <c r="C51" s="706" t="s">
        <v>603</v>
      </c>
      <c r="D51" s="706"/>
      <c r="E51" s="706"/>
      <c r="F51" s="706"/>
      <c r="G51" s="706"/>
      <c r="H51" s="27" t="s">
        <v>29</v>
      </c>
      <c r="I51" s="28">
        <v>19.5</v>
      </c>
      <c r="J51" s="707">
        <v>200000</v>
      </c>
      <c r="K51" s="698">
        <f>J51*I51</f>
        <v>3900000</v>
      </c>
    </row>
    <row r="52" spans="2:11" ht="15.75">
      <c r="B52" s="705"/>
      <c r="C52" s="706"/>
      <c r="D52" s="706"/>
      <c r="E52" s="706"/>
      <c r="F52" s="706"/>
      <c r="G52" s="706"/>
      <c r="H52" s="27"/>
      <c r="I52" s="28"/>
      <c r="J52" s="704" t="s">
        <v>377</v>
      </c>
      <c r="K52" s="700">
        <f>SUM(K48:K51)</f>
        <v>14400000</v>
      </c>
    </row>
    <row r="53" spans="2:11" ht="15.75">
      <c r="B53" s="14" t="s">
        <v>30</v>
      </c>
      <c r="C53" s="701" t="s">
        <v>31</v>
      </c>
      <c r="D53" s="706"/>
      <c r="E53" s="706"/>
      <c r="F53" s="706"/>
      <c r="G53" s="706"/>
      <c r="H53" s="27"/>
      <c r="I53" s="28"/>
      <c r="J53" s="704"/>
      <c r="K53" s="700"/>
    </row>
    <row r="54" spans="2:11" ht="15.75">
      <c r="B54" s="705">
        <v>1</v>
      </c>
      <c r="C54" s="706" t="s">
        <v>586</v>
      </c>
      <c r="D54" s="706"/>
      <c r="E54" s="706"/>
      <c r="F54" s="706"/>
      <c r="G54" s="706"/>
      <c r="H54" s="27" t="s">
        <v>32</v>
      </c>
      <c r="I54" s="28">
        <v>1</v>
      </c>
      <c r="J54" s="707">
        <v>500000</v>
      </c>
      <c r="K54" s="698">
        <f>J54*I54</f>
        <v>500000</v>
      </c>
    </row>
    <row r="55" spans="2:11" ht="15.75">
      <c r="B55" s="705">
        <f>B54+1</f>
        <v>2</v>
      </c>
      <c r="C55" s="706" t="s">
        <v>604</v>
      </c>
      <c r="D55" s="706"/>
      <c r="E55" s="706"/>
      <c r="F55" s="706"/>
      <c r="G55" s="706"/>
      <c r="H55" s="27" t="s">
        <v>21</v>
      </c>
      <c r="I55" s="28">
        <v>1</v>
      </c>
      <c r="J55" s="707">
        <v>200000</v>
      </c>
      <c r="K55" s="698">
        <f>J55*I55</f>
        <v>200000</v>
      </c>
    </row>
    <row r="56" spans="2:11" ht="15.75">
      <c r="B56" s="705">
        <f>B55+1</f>
        <v>3</v>
      </c>
      <c r="C56" s="706" t="s">
        <v>605</v>
      </c>
      <c r="D56" s="706"/>
      <c r="E56" s="706"/>
      <c r="F56" s="706"/>
      <c r="G56" s="706"/>
      <c r="H56" s="27" t="s">
        <v>21</v>
      </c>
      <c r="I56" s="28">
        <v>1</v>
      </c>
      <c r="J56" s="707">
        <v>150000</v>
      </c>
      <c r="K56" s="698">
        <f>J56*I56</f>
        <v>150000</v>
      </c>
    </row>
    <row r="57" spans="2:11" ht="15.75">
      <c r="B57" s="705">
        <f>B56+1</f>
        <v>4</v>
      </c>
      <c r="C57" s="706" t="s">
        <v>606</v>
      </c>
      <c r="D57" s="706"/>
      <c r="E57" s="706"/>
      <c r="F57" s="706"/>
      <c r="G57" s="706"/>
      <c r="H57" s="27" t="s">
        <v>21</v>
      </c>
      <c r="I57" s="28">
        <v>1</v>
      </c>
      <c r="J57" s="707">
        <v>120000</v>
      </c>
      <c r="K57" s="698">
        <f>J57*I57</f>
        <v>120000</v>
      </c>
    </row>
    <row r="58" spans="2:11" ht="15.75">
      <c r="B58" s="705"/>
      <c r="C58" s="706"/>
      <c r="D58" s="706"/>
      <c r="E58" s="706"/>
      <c r="F58" s="706"/>
      <c r="G58" s="706"/>
      <c r="H58" s="27"/>
      <c r="I58" s="28"/>
      <c r="J58" s="704" t="s">
        <v>383</v>
      </c>
      <c r="K58" s="700">
        <f>SUM(K54:K57)</f>
        <v>970000</v>
      </c>
    </row>
    <row r="59" spans="2:11" ht="15.75">
      <c r="B59" s="14" t="s">
        <v>33</v>
      </c>
      <c r="C59" s="701" t="s">
        <v>607</v>
      </c>
      <c r="D59" s="706"/>
      <c r="E59" s="706"/>
      <c r="F59" s="706"/>
      <c r="G59" s="706"/>
      <c r="H59" s="27"/>
      <c r="I59" s="28"/>
      <c r="J59" s="704"/>
      <c r="K59" s="700"/>
    </row>
    <row r="60" spans="2:11" ht="15.75">
      <c r="B60" s="705">
        <v>1</v>
      </c>
      <c r="C60" s="706" t="e">
        <f>#REF!</f>
        <v>#REF!</v>
      </c>
      <c r="D60" s="706"/>
      <c r="E60" s="706"/>
      <c r="F60" s="706"/>
      <c r="G60" s="706"/>
      <c r="H60" s="27" t="s">
        <v>14</v>
      </c>
      <c r="I60" s="28">
        <v>70</v>
      </c>
      <c r="J60" s="703">
        <v>350000</v>
      </c>
      <c r="K60" s="698">
        <f>J60*I60</f>
        <v>24500000</v>
      </c>
    </row>
    <row r="61" spans="2:11" ht="15.75">
      <c r="B61" s="705">
        <f>B60+1</f>
        <v>2</v>
      </c>
      <c r="C61" s="706" t="e">
        <f>#REF!</f>
        <v>#REF!</v>
      </c>
      <c r="D61" s="706"/>
      <c r="E61" s="706"/>
      <c r="F61" s="706"/>
      <c r="G61" s="706"/>
      <c r="H61" s="27" t="s">
        <v>24</v>
      </c>
      <c r="I61" s="28">
        <v>8</v>
      </c>
      <c r="J61" s="703">
        <v>150000</v>
      </c>
      <c r="K61" s="698">
        <f>J61*I61</f>
        <v>1200000</v>
      </c>
    </row>
    <row r="62" spans="2:11" ht="15.75">
      <c r="B62" s="705"/>
      <c r="C62" s="706"/>
      <c r="D62" s="706"/>
      <c r="E62" s="706"/>
      <c r="F62" s="706"/>
      <c r="G62" s="706"/>
      <c r="H62" s="27"/>
      <c r="I62" s="28"/>
      <c r="J62" s="704" t="s">
        <v>388</v>
      </c>
      <c r="K62" s="700">
        <f>SUM(K60:K61)</f>
        <v>25700000</v>
      </c>
    </row>
    <row r="63" spans="2:11" ht="15.75">
      <c r="B63" s="705"/>
      <c r="C63" s="706"/>
      <c r="D63" s="706"/>
      <c r="E63" s="706"/>
      <c r="F63" s="706"/>
      <c r="G63" s="706"/>
      <c r="H63" s="27"/>
      <c r="I63" s="28"/>
      <c r="J63" s="704"/>
      <c r="K63" s="700"/>
    </row>
    <row r="64" spans="2:11" ht="15.75">
      <c r="B64" s="14" t="s">
        <v>34</v>
      </c>
      <c r="C64" s="701" t="s">
        <v>38</v>
      </c>
      <c r="D64" s="706"/>
      <c r="E64" s="706"/>
      <c r="F64" s="706"/>
      <c r="G64" s="706"/>
      <c r="H64" s="27"/>
      <c r="I64" s="28"/>
      <c r="J64" s="703"/>
      <c r="K64" s="698"/>
    </row>
    <row r="65" spans="2:13" ht="15.75">
      <c r="B65" s="705"/>
      <c r="C65" s="434" t="s">
        <v>1002</v>
      </c>
      <c r="D65" s="706"/>
      <c r="E65" s="706"/>
      <c r="F65" s="706"/>
      <c r="G65" s="706"/>
      <c r="H65" s="27"/>
      <c r="I65" s="28"/>
      <c r="J65" s="703"/>
      <c r="K65" s="698"/>
    </row>
    <row r="66" spans="2:13" ht="15.75">
      <c r="B66" s="705"/>
      <c r="C66" s="706"/>
      <c r="D66" s="706"/>
      <c r="E66" s="706"/>
      <c r="F66" s="706"/>
      <c r="G66" s="706"/>
      <c r="H66" s="27"/>
      <c r="I66" s="28"/>
      <c r="J66" s="703"/>
      <c r="K66" s="698"/>
    </row>
    <row r="67" spans="2:13" ht="15.75">
      <c r="B67" s="705"/>
      <c r="C67" s="706"/>
      <c r="D67" s="706"/>
      <c r="E67" s="706"/>
      <c r="F67" s="706"/>
      <c r="G67" s="706"/>
      <c r="H67" s="27"/>
      <c r="I67" s="28"/>
      <c r="J67" s="703"/>
      <c r="K67" s="698"/>
    </row>
    <row r="68" spans="2:13" ht="15.75">
      <c r="B68" s="705"/>
      <c r="C68" s="706"/>
      <c r="D68" s="706"/>
      <c r="E68" s="706"/>
      <c r="F68" s="706"/>
      <c r="G68" s="706"/>
      <c r="H68" s="27"/>
      <c r="I68" s="28"/>
      <c r="J68" s="704" t="s">
        <v>394</v>
      </c>
      <c r="K68" s="700">
        <f>SUM(K65:K67)</f>
        <v>0</v>
      </c>
    </row>
    <row r="69" spans="2:13" ht="15.75">
      <c r="B69" s="14" t="s">
        <v>36</v>
      </c>
      <c r="C69" s="701" t="s">
        <v>39</v>
      </c>
      <c r="D69" s="706"/>
      <c r="E69" s="706"/>
      <c r="F69" s="706"/>
      <c r="G69" s="706"/>
      <c r="H69" s="27"/>
      <c r="I69" s="28"/>
      <c r="J69" s="703"/>
      <c r="K69" s="698"/>
    </row>
    <row r="70" spans="2:13" ht="15.75">
      <c r="B70" s="627"/>
      <c r="C70" s="434" t="s">
        <v>986</v>
      </c>
      <c r="D70" s="706"/>
      <c r="E70" s="706"/>
      <c r="F70" s="706"/>
      <c r="G70" s="706"/>
      <c r="H70" s="27"/>
      <c r="I70" s="28"/>
      <c r="J70" s="703"/>
      <c r="K70" s="698"/>
    </row>
    <row r="71" spans="2:13" ht="15.75">
      <c r="B71" s="627"/>
      <c r="C71" s="706"/>
      <c r="D71" s="706"/>
      <c r="E71" s="706"/>
      <c r="F71" s="706"/>
      <c r="G71" s="706"/>
      <c r="H71" s="27"/>
      <c r="I71" s="28"/>
      <c r="J71" s="703"/>
      <c r="K71" s="698"/>
    </row>
    <row r="72" spans="2:13" ht="15.75">
      <c r="B72" s="627"/>
      <c r="C72" s="706"/>
      <c r="D72" s="706"/>
      <c r="E72" s="706"/>
      <c r="F72" s="706"/>
      <c r="G72" s="706"/>
      <c r="H72" s="27"/>
      <c r="I72" s="28"/>
      <c r="J72" s="703"/>
      <c r="K72" s="698"/>
    </row>
    <row r="73" spans="2:13" ht="15.75">
      <c r="B73" s="627"/>
      <c r="C73" s="706"/>
      <c r="D73" s="706"/>
      <c r="E73" s="706"/>
      <c r="F73" s="706"/>
      <c r="G73" s="706"/>
      <c r="H73" s="27"/>
      <c r="I73" s="28"/>
      <c r="J73" s="703"/>
      <c r="K73" s="698"/>
    </row>
    <row r="74" spans="2:13" ht="15.75">
      <c r="B74" s="627"/>
      <c r="C74" s="706"/>
      <c r="D74" s="706"/>
      <c r="E74" s="706"/>
      <c r="F74" s="706"/>
      <c r="G74" s="706"/>
      <c r="H74" s="27"/>
      <c r="I74" s="28"/>
      <c r="J74" s="703"/>
      <c r="K74" s="698"/>
    </row>
    <row r="75" spans="2:13" ht="15.75">
      <c r="B75" s="705"/>
      <c r="C75" s="706"/>
      <c r="D75" s="706"/>
      <c r="E75" s="706"/>
      <c r="F75" s="706"/>
      <c r="G75" s="706"/>
      <c r="H75" s="27"/>
      <c r="I75" s="28"/>
      <c r="J75" s="704" t="s">
        <v>500</v>
      </c>
      <c r="K75" s="700">
        <f>SUM(K70:K74)</f>
        <v>0</v>
      </c>
    </row>
    <row r="76" spans="2:13" ht="16.5" thickBot="1">
      <c r="B76" s="708"/>
      <c r="C76" s="709"/>
      <c r="D76" s="709"/>
      <c r="E76" s="709"/>
      <c r="F76" s="709"/>
      <c r="G76" s="709"/>
      <c r="H76" s="635"/>
      <c r="I76" s="636"/>
      <c r="J76" s="710"/>
      <c r="K76" s="711"/>
    </row>
    <row r="77" spans="2:13" ht="17.25" thickTop="1" thickBot="1">
      <c r="B77" s="682"/>
      <c r="C77" s="683"/>
      <c r="D77" s="683"/>
      <c r="E77" s="683"/>
      <c r="F77" s="683"/>
      <c r="G77" s="683"/>
      <c r="H77" s="683"/>
      <c r="I77" s="683"/>
      <c r="J77" s="684" t="s">
        <v>41</v>
      </c>
      <c r="K77" s="685">
        <f>SUM(K11:K76)/2</f>
        <v>136210985</v>
      </c>
    </row>
    <row r="78" spans="2:13" s="712" customFormat="1" ht="15.75" thickTop="1">
      <c r="B78" s="689"/>
      <c r="C78" s="689"/>
      <c r="D78" s="689"/>
      <c r="E78" s="689"/>
      <c r="F78" s="689"/>
      <c r="G78" s="689"/>
      <c r="H78" s="689"/>
      <c r="I78" s="689"/>
      <c r="J78" s="689"/>
      <c r="L78" s="689"/>
      <c r="M78" s="689"/>
    </row>
    <row r="84" spans="2:13" s="712" customFormat="1">
      <c r="B84" s="689"/>
      <c r="C84" s="689"/>
      <c r="D84" s="689"/>
      <c r="E84" s="689"/>
      <c r="F84" s="689"/>
      <c r="G84" s="689"/>
      <c r="H84" s="689"/>
      <c r="I84" s="689"/>
      <c r="J84" s="713"/>
      <c r="L84" s="689"/>
      <c r="M84" s="689"/>
    </row>
  </sheetData>
  <mergeCells count="1">
    <mergeCell ref="I7:K7"/>
  </mergeCells>
  <pageMargins left="0.7" right="0.7" top="0.75" bottom="0.75" header="0.3" footer="0.3"/>
  <pageSetup orientation="portrait" horizontalDpi="0" verticalDpi="0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6A151C-CA96-4A80-9112-3580F7A0C9EA}">
  <sheetPr>
    <tabColor rgb="FFFFFF00"/>
    <pageSetUpPr fitToPage="1"/>
  </sheetPr>
  <dimension ref="A2:L30"/>
  <sheetViews>
    <sheetView workbookViewId="0">
      <selection activeCell="F8" sqref="F8:H8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872" t="s">
        <v>0</v>
      </c>
      <c r="C3" s="41"/>
      <c r="E3" s="43"/>
      <c r="F3" s="44"/>
    </row>
    <row r="4" spans="1:12">
      <c r="B4" s="872" t="s">
        <v>954</v>
      </c>
      <c r="C4" s="41"/>
      <c r="E4" s="43"/>
      <c r="F4" s="44"/>
    </row>
    <row r="5" spans="1:12">
      <c r="B5" s="873" t="s">
        <v>1</v>
      </c>
      <c r="C5" s="41"/>
      <c r="E5" s="43"/>
      <c r="F5" s="44"/>
    </row>
    <row r="6" spans="1:12">
      <c r="B6" s="872" t="s">
        <v>2</v>
      </c>
      <c r="C6" s="41"/>
      <c r="E6" s="43"/>
      <c r="F6" s="44"/>
    </row>
    <row r="7" spans="1:12">
      <c r="B7" s="873" t="s">
        <v>3</v>
      </c>
      <c r="C7" s="41"/>
      <c r="E7" s="43"/>
      <c r="F7" s="44"/>
    </row>
    <row r="8" spans="1:12" ht="16.5" thickBot="1">
      <c r="F8" s="1136" t="s">
        <v>957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Titik Pandang Blok A</v>
      </c>
      <c r="D13" s="58"/>
      <c r="E13" s="58"/>
      <c r="F13" s="58"/>
      <c r="G13" s="58"/>
      <c r="H13" s="59"/>
    </row>
    <row r="14" spans="1:12" s="875" customFormat="1">
      <c r="A14" s="39"/>
      <c r="B14" s="55" t="s">
        <v>11</v>
      </c>
      <c r="C14" s="56" t="s">
        <v>340</v>
      </c>
      <c r="D14" s="58"/>
      <c r="E14" s="58"/>
      <c r="F14" s="58"/>
      <c r="G14" s="58"/>
      <c r="H14" s="874">
        <f>BQTitikPandang!K15</f>
        <v>720000</v>
      </c>
      <c r="I14" s="39"/>
      <c r="J14" s="39"/>
      <c r="K14" s="39"/>
      <c r="L14" s="39"/>
    </row>
    <row r="15" spans="1:12" s="875" customFormat="1">
      <c r="A15" s="39"/>
      <c r="B15" s="55" t="s">
        <v>12</v>
      </c>
      <c r="C15" s="56" t="s">
        <v>191</v>
      </c>
      <c r="D15" s="58"/>
      <c r="E15" s="58"/>
      <c r="F15" s="58"/>
      <c r="G15" s="58"/>
      <c r="H15" s="874">
        <f>BQTitikPandang!K24</f>
        <v>19136192.000000004</v>
      </c>
      <c r="I15" s="39"/>
      <c r="J15" s="39"/>
      <c r="K15" s="39"/>
      <c r="L15" s="39"/>
    </row>
    <row r="16" spans="1:12" s="875" customFormat="1">
      <c r="A16" s="39"/>
      <c r="B16" s="55" t="s">
        <v>16</v>
      </c>
      <c r="C16" s="56" t="str">
        <f>BQTitikPandang!C25</f>
        <v>PEKERJAAN STRUKTUR</v>
      </c>
      <c r="D16" s="58"/>
      <c r="E16" s="58"/>
      <c r="F16" s="58"/>
      <c r="G16" s="58"/>
      <c r="H16" s="874">
        <f>BQTitikPandang!K36</f>
        <v>91006837</v>
      </c>
      <c r="I16" s="39"/>
      <c r="J16" s="39"/>
      <c r="K16" s="39"/>
      <c r="L16" s="39"/>
    </row>
    <row r="17" spans="1:12" s="875" customFormat="1">
      <c r="A17" s="39"/>
      <c r="B17" s="55" t="s">
        <v>19</v>
      </c>
      <c r="C17" s="56" t="str">
        <f>BQTitikPandang!C37</f>
        <v>PEKERJAAN PENGECATAN</v>
      </c>
      <c r="D17" s="58"/>
      <c r="E17" s="58"/>
      <c r="F17" s="58"/>
      <c r="G17" s="58"/>
      <c r="H17" s="874">
        <f>BQTitikPandang!K40</f>
        <v>2880000</v>
      </c>
      <c r="I17" s="39"/>
      <c r="J17" s="39"/>
      <c r="K17" s="39"/>
      <c r="L17" s="39"/>
    </row>
    <row r="18" spans="1:12" s="875" customFormat="1">
      <c r="A18" s="39"/>
      <c r="B18" s="55"/>
      <c r="C18" s="56"/>
      <c r="D18" s="58"/>
      <c r="E18" s="58"/>
      <c r="F18" s="58"/>
      <c r="G18" s="58"/>
      <c r="H18" s="874"/>
      <c r="I18" s="39"/>
      <c r="J18" s="39"/>
      <c r="K18" s="39"/>
      <c r="L18" s="39"/>
    </row>
    <row r="19" spans="1:12" s="875" customFormat="1">
      <c r="A19" s="39"/>
      <c r="B19" s="55"/>
      <c r="C19" s="56"/>
      <c r="D19" s="58"/>
      <c r="E19" s="58"/>
      <c r="F19" s="58"/>
      <c r="G19" s="58"/>
      <c r="H19" s="874"/>
      <c r="I19" s="39"/>
      <c r="J19" s="39"/>
      <c r="K19" s="39"/>
      <c r="L19" s="39"/>
    </row>
    <row r="20" spans="1:12" s="875" customFormat="1">
      <c r="A20" s="39"/>
      <c r="B20" s="55"/>
      <c r="C20" s="56"/>
      <c r="D20" s="58"/>
      <c r="E20" s="58"/>
      <c r="F20" s="58"/>
      <c r="G20" s="58"/>
      <c r="H20" s="874"/>
      <c r="I20" s="39"/>
      <c r="J20" s="39"/>
      <c r="K20" s="39"/>
      <c r="L20" s="39"/>
    </row>
    <row r="21" spans="1:12" s="875" customFormat="1">
      <c r="A21" s="39"/>
      <c r="B21" s="55"/>
      <c r="C21" s="56"/>
      <c r="D21" s="58"/>
      <c r="E21" s="58"/>
      <c r="F21" s="58"/>
      <c r="G21" s="58"/>
      <c r="H21" s="874"/>
      <c r="I21" s="39"/>
      <c r="J21" s="39"/>
      <c r="K21" s="39"/>
      <c r="L21" s="39"/>
    </row>
    <row r="22" spans="1:12" s="875" customFormat="1">
      <c r="A22" s="39"/>
      <c r="B22" s="55"/>
      <c r="C22" s="56"/>
      <c r="D22" s="58"/>
      <c r="E22" s="58"/>
      <c r="F22" s="58"/>
      <c r="G22" s="58"/>
      <c r="H22" s="874"/>
      <c r="I22" s="39"/>
      <c r="J22" s="39"/>
      <c r="K22" s="39"/>
      <c r="L22" s="39"/>
    </row>
    <row r="23" spans="1:12" ht="16.5" thickBot="1">
      <c r="B23" s="69"/>
      <c r="C23" s="70"/>
      <c r="D23" s="70"/>
      <c r="E23" s="70"/>
      <c r="F23" s="70"/>
      <c r="G23" s="70"/>
      <c r="H23" s="876"/>
    </row>
    <row r="24" spans="1:12" ht="17.25" thickTop="1" thickBot="1">
      <c r="B24" s="72"/>
      <c r="C24" s="73"/>
      <c r="D24" s="73"/>
      <c r="E24" s="73"/>
      <c r="F24" s="74" t="s">
        <v>41</v>
      </c>
      <c r="G24" s="74"/>
      <c r="H24" s="75">
        <f>SUM(H14:H23)</f>
        <v>113743029</v>
      </c>
    </row>
    <row r="25" spans="1:12" ht="16.5" thickTop="1">
      <c r="B25" s="76"/>
      <c r="C25" s="77"/>
      <c r="D25" s="77"/>
      <c r="E25" s="77"/>
      <c r="F25" s="77"/>
      <c r="G25" s="77"/>
      <c r="H25" s="78"/>
    </row>
    <row r="26" spans="1:12">
      <c r="B26" s="79"/>
      <c r="C26" s="56"/>
      <c r="D26" s="56"/>
      <c r="E26" s="58"/>
      <c r="F26" s="40"/>
      <c r="G26" s="43"/>
      <c r="H26" s="877"/>
    </row>
    <row r="27" spans="1:12">
      <c r="B27" s="81"/>
      <c r="C27" s="41"/>
      <c r="E27" s="44"/>
      <c r="H27" s="82"/>
    </row>
    <row r="28" spans="1:12">
      <c r="B28" s="81"/>
      <c r="C28" s="41"/>
      <c r="E28" s="44"/>
      <c r="H28" s="878"/>
    </row>
    <row r="29" spans="1:12" ht="16.5" thickBot="1">
      <c r="B29" s="84"/>
      <c r="C29" s="85"/>
      <c r="D29" s="85"/>
      <c r="E29" s="85"/>
      <c r="F29" s="85"/>
      <c r="G29" s="85"/>
      <c r="H29" s="86"/>
    </row>
    <row r="30" spans="1:12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65EBF-B4C8-4F19-9FC4-31B9449F1046}">
  <dimension ref="B1:S66"/>
  <sheetViews>
    <sheetView topLeftCell="A28" zoomScaleNormal="100" workbookViewId="0">
      <selection activeCell="M21" sqref="M21"/>
    </sheetView>
  </sheetViews>
  <sheetFormatPr defaultColWidth="9.140625" defaultRowHeight="15.75"/>
  <cols>
    <col min="1" max="1" width="9.140625" style="814"/>
    <col min="2" max="2" width="6.42578125" style="814" customWidth="1"/>
    <col min="3" max="7" width="10.7109375" style="814" customWidth="1"/>
    <col min="8" max="8" width="7.42578125" style="815" bestFit="1" customWidth="1"/>
    <col min="9" max="9" width="9.42578125" style="814" customWidth="1"/>
    <col min="10" max="10" width="12.28515625" style="416" bestFit="1" customWidth="1"/>
    <col min="11" max="11" width="15.5703125" style="814" customWidth="1"/>
    <col min="12" max="12" width="9.28515625" style="814" customWidth="1"/>
    <col min="13" max="13" width="12.42578125" style="814" bestFit="1" customWidth="1"/>
    <col min="14" max="16" width="9.140625" style="814"/>
    <col min="17" max="17" width="14.140625" style="814" customWidth="1"/>
    <col min="18" max="18" width="11" style="814" bestFit="1" customWidth="1"/>
    <col min="19" max="16384" width="9.140625" style="814"/>
  </cols>
  <sheetData>
    <row r="1" spans="2:19">
      <c r="B1" s="414"/>
      <c r="C1" s="415"/>
      <c r="D1" s="415"/>
      <c r="E1" s="415"/>
      <c r="F1" s="415"/>
      <c r="G1" s="415"/>
      <c r="H1" s="415"/>
      <c r="I1" s="415"/>
      <c r="J1" s="415"/>
      <c r="K1" s="272"/>
    </row>
    <row r="2" spans="2:19">
      <c r="B2" s="414"/>
      <c r="C2" s="414"/>
      <c r="D2" s="414"/>
      <c r="E2" s="414"/>
      <c r="F2" s="414"/>
      <c r="G2" s="414"/>
      <c r="H2" s="414"/>
      <c r="I2" s="414"/>
      <c r="J2" s="414"/>
      <c r="K2" s="417"/>
    </row>
    <row r="3" spans="2:19">
      <c r="B3" s="414" t="s">
        <v>0</v>
      </c>
      <c r="C3" s="2"/>
      <c r="D3" s="2"/>
      <c r="E3" s="2"/>
      <c r="F3" s="2"/>
      <c r="G3" s="1"/>
      <c r="H3" s="5"/>
      <c r="I3" s="6"/>
      <c r="J3" s="1"/>
      <c r="K3" s="1"/>
    </row>
    <row r="4" spans="2:19">
      <c r="B4" s="859" t="s">
        <v>947</v>
      </c>
      <c r="C4" s="2"/>
      <c r="D4" s="2"/>
      <c r="E4" s="2"/>
      <c r="F4" s="2"/>
      <c r="G4" s="1"/>
      <c r="H4" s="5"/>
      <c r="I4" s="6"/>
      <c r="J4" s="1"/>
      <c r="K4" s="1"/>
      <c r="P4" s="1012"/>
      <c r="Q4" s="1013"/>
      <c r="R4" s="1014"/>
      <c r="S4" s="1014"/>
    </row>
    <row r="5" spans="2:19">
      <c r="B5" s="850" t="s">
        <v>1</v>
      </c>
      <c r="C5" s="2"/>
      <c r="D5" s="2"/>
      <c r="E5" s="2"/>
      <c r="F5" s="2"/>
      <c r="G5" s="1"/>
      <c r="H5" s="5"/>
      <c r="I5" s="6"/>
      <c r="J5" s="1"/>
      <c r="K5" s="1"/>
    </row>
    <row r="6" spans="2:19">
      <c r="B6" s="414" t="s">
        <v>2</v>
      </c>
      <c r="C6" s="2"/>
      <c r="D6" s="2"/>
      <c r="E6" s="2"/>
      <c r="F6" s="2"/>
      <c r="G6" s="1"/>
      <c r="H6" s="5"/>
      <c r="I6" s="6"/>
      <c r="J6" s="1"/>
      <c r="K6" s="1"/>
      <c r="L6" s="1137"/>
    </row>
    <row r="7" spans="2:19">
      <c r="B7" s="850" t="s">
        <v>3</v>
      </c>
      <c r="C7" s="2"/>
      <c r="D7" s="2"/>
      <c r="E7" s="2"/>
      <c r="F7" s="2"/>
      <c r="G7" s="1"/>
      <c r="H7" s="5"/>
      <c r="I7" s="6"/>
      <c r="J7" s="1"/>
      <c r="K7" s="1"/>
      <c r="L7" s="1138"/>
    </row>
    <row r="8" spans="2:19" ht="16.5" thickBot="1">
      <c r="B8" s="1"/>
      <c r="C8" s="1"/>
      <c r="D8" s="1"/>
      <c r="E8" s="1"/>
      <c r="F8" s="1"/>
      <c r="G8" s="1"/>
      <c r="H8" s="1"/>
      <c r="I8" s="1136" t="s">
        <v>957</v>
      </c>
      <c r="J8" s="1136"/>
      <c r="K8" s="1136"/>
      <c r="L8" s="840"/>
    </row>
    <row r="9" spans="2:19" ht="16.5" thickTop="1">
      <c r="B9" s="962"/>
      <c r="C9" s="961"/>
      <c r="D9" s="9"/>
      <c r="E9" s="9"/>
      <c r="F9" s="9"/>
      <c r="G9" s="960"/>
      <c r="H9" s="959"/>
      <c r="I9" s="948"/>
      <c r="J9" s="860" t="s">
        <v>4</v>
      </c>
      <c r="K9" s="879" t="s">
        <v>5</v>
      </c>
      <c r="L9" s="840"/>
    </row>
    <row r="10" spans="2:19">
      <c r="B10" s="958" t="s">
        <v>6</v>
      </c>
      <c r="C10" s="957" t="s">
        <v>7</v>
      </c>
      <c r="D10" s="854"/>
      <c r="E10" s="854"/>
      <c r="F10" s="854"/>
      <c r="G10" s="956"/>
      <c r="H10" s="1010" t="s">
        <v>8</v>
      </c>
      <c r="I10" s="947" t="s">
        <v>9</v>
      </c>
      <c r="J10" s="862" t="s">
        <v>8</v>
      </c>
      <c r="K10" s="880" t="s">
        <v>4</v>
      </c>
      <c r="L10" s="840"/>
    </row>
    <row r="11" spans="2:19" ht="16.5" thickBot="1">
      <c r="B11" s="955"/>
      <c r="C11" s="954"/>
      <c r="D11" s="21"/>
      <c r="E11" s="21"/>
      <c r="F11" s="21"/>
      <c r="G11" s="953"/>
      <c r="H11" s="952"/>
      <c r="I11" s="946"/>
      <c r="J11" s="864" t="s">
        <v>10</v>
      </c>
      <c r="K11" s="881" t="s">
        <v>10</v>
      </c>
      <c r="L11" s="840"/>
    </row>
    <row r="12" spans="2:19" ht="16.5" thickTop="1">
      <c r="B12" s="428" t="s">
        <v>339</v>
      </c>
      <c r="C12" s="429" t="s">
        <v>340</v>
      </c>
      <c r="D12" s="816"/>
      <c r="E12" s="816"/>
      <c r="F12" s="816"/>
      <c r="G12" s="435"/>
      <c r="I12" s="431"/>
      <c r="J12" s="432"/>
      <c r="K12" s="433"/>
      <c r="L12" s="841"/>
    </row>
    <row r="13" spans="2:19" ht="18">
      <c r="B13" s="421">
        <v>1</v>
      </c>
      <c r="C13" s="434" t="s">
        <v>343</v>
      </c>
      <c r="G13" s="435"/>
      <c r="H13" s="815" t="s">
        <v>344</v>
      </c>
      <c r="I13" s="436">
        <v>36</v>
      </c>
      <c r="J13" s="432">
        <v>20000</v>
      </c>
      <c r="K13" s="437">
        <f>I13*J13</f>
        <v>720000</v>
      </c>
      <c r="L13" s="842"/>
    </row>
    <row r="14" spans="2:19">
      <c r="B14" s="438"/>
      <c r="C14" s="434"/>
      <c r="G14" s="435"/>
      <c r="I14" s="436"/>
      <c r="J14" s="432"/>
      <c r="K14" s="437"/>
      <c r="L14" s="842"/>
    </row>
    <row r="15" spans="2:19">
      <c r="B15" s="421"/>
      <c r="C15" s="434"/>
      <c r="G15" s="883"/>
      <c r="I15" s="436"/>
      <c r="J15" s="439" t="s">
        <v>348</v>
      </c>
      <c r="K15" s="440">
        <f>SUM(K13:K13)</f>
        <v>720000</v>
      </c>
      <c r="L15" s="843"/>
      <c r="M15" s="818"/>
    </row>
    <row r="16" spans="2:19">
      <c r="B16" s="428" t="s">
        <v>349</v>
      </c>
      <c r="C16" s="429" t="s">
        <v>191</v>
      </c>
      <c r="D16" s="816"/>
      <c r="E16" s="816"/>
      <c r="F16" s="816"/>
      <c r="G16" s="435"/>
      <c r="I16" s="436"/>
      <c r="J16" s="432"/>
      <c r="K16" s="437"/>
      <c r="L16" s="841"/>
    </row>
    <row r="17" spans="2:13" ht="18">
      <c r="B17" s="421">
        <v>1</v>
      </c>
      <c r="C17" s="434" t="s">
        <v>208</v>
      </c>
      <c r="G17" s="435"/>
      <c r="H17" s="815" t="s">
        <v>351</v>
      </c>
      <c r="I17" s="436">
        <f>0.9*0.9*12.8</f>
        <v>10.368000000000002</v>
      </c>
      <c r="J17" s="432">
        <v>150000</v>
      </c>
      <c r="K17" s="437">
        <f t="shared" ref="K17:K22" si="0">I17*J17</f>
        <v>1555200.0000000002</v>
      </c>
      <c r="L17" s="842"/>
      <c r="M17" s="818"/>
    </row>
    <row r="18" spans="2:13" ht="18">
      <c r="B18" s="421">
        <v>2</v>
      </c>
      <c r="C18" s="434" t="s">
        <v>209</v>
      </c>
      <c r="G18" s="435"/>
      <c r="H18" s="815" t="s">
        <v>351</v>
      </c>
      <c r="I18" s="436">
        <f>0.8*0.8*1.5*9</f>
        <v>8.6400000000000023</v>
      </c>
      <c r="J18" s="432">
        <v>150000</v>
      </c>
      <c r="K18" s="437">
        <f t="shared" si="0"/>
        <v>1296000.0000000005</v>
      </c>
      <c r="L18" s="842"/>
      <c r="M18" s="818"/>
    </row>
    <row r="19" spans="2:13" ht="18">
      <c r="B19" s="421">
        <v>3</v>
      </c>
      <c r="C19" s="434" t="s">
        <v>352</v>
      </c>
      <c r="G19" s="435"/>
      <c r="H19" s="815" t="s">
        <v>351</v>
      </c>
      <c r="I19" s="436">
        <f>0.05*0.8*12.8</f>
        <v>0.51200000000000012</v>
      </c>
      <c r="J19" s="432">
        <v>310000</v>
      </c>
      <c r="K19" s="437">
        <f t="shared" si="0"/>
        <v>158720.00000000003</v>
      </c>
      <c r="L19" s="842"/>
      <c r="M19" s="818"/>
    </row>
    <row r="20" spans="2:13" ht="18">
      <c r="B20" s="421">
        <v>4</v>
      </c>
      <c r="C20" s="434" t="s">
        <v>211</v>
      </c>
      <c r="G20" s="435"/>
      <c r="H20" s="815" t="s">
        <v>351</v>
      </c>
      <c r="I20" s="436">
        <f>0.45*0.9*12.8</f>
        <v>5.1840000000000011</v>
      </c>
      <c r="J20" s="432">
        <v>972000</v>
      </c>
      <c r="K20" s="437">
        <f t="shared" si="0"/>
        <v>5038848.0000000009</v>
      </c>
      <c r="L20" s="842"/>
      <c r="M20" s="818"/>
    </row>
    <row r="21" spans="2:13" ht="18">
      <c r="B21" s="421">
        <v>5</v>
      </c>
      <c r="C21" s="434" t="s">
        <v>212</v>
      </c>
      <c r="G21" s="435"/>
      <c r="H21" s="815" t="s">
        <v>351</v>
      </c>
      <c r="I21" s="436">
        <f>0.8*0.8*0.3*9</f>
        <v>1.7280000000000002</v>
      </c>
      <c r="J21" s="432">
        <v>6358000</v>
      </c>
      <c r="K21" s="437">
        <f t="shared" si="0"/>
        <v>10986624.000000002</v>
      </c>
      <c r="L21" s="842"/>
    </row>
    <row r="22" spans="2:13" ht="18">
      <c r="B22" s="421">
        <v>6</v>
      </c>
      <c r="C22" s="434" t="s">
        <v>701</v>
      </c>
      <c r="G22" s="435"/>
      <c r="H22" s="815" t="s">
        <v>351</v>
      </c>
      <c r="I22" s="1015">
        <f>0.05*0.8*0.8*9</f>
        <v>0.28800000000000009</v>
      </c>
      <c r="J22" s="446">
        <v>350000</v>
      </c>
      <c r="K22" s="437">
        <f t="shared" si="0"/>
        <v>100800.00000000003</v>
      </c>
      <c r="L22" s="842"/>
    </row>
    <row r="23" spans="2:13">
      <c r="B23" s="421"/>
      <c r="C23" s="434"/>
      <c r="G23" s="435"/>
      <c r="I23" s="436"/>
      <c r="J23" s="432"/>
      <c r="K23" s="437"/>
      <c r="L23" s="841"/>
      <c r="M23" s="819"/>
    </row>
    <row r="24" spans="2:13">
      <c r="B24" s="421"/>
      <c r="C24" s="434"/>
      <c r="G24" s="883"/>
      <c r="I24" s="436"/>
      <c r="J24" s="439" t="s">
        <v>353</v>
      </c>
      <c r="K24" s="440">
        <f>SUM(K17:K23)</f>
        <v>19136192.000000004</v>
      </c>
      <c r="L24" s="843"/>
      <c r="M24" s="818"/>
    </row>
    <row r="25" spans="2:13">
      <c r="B25" s="428" t="s">
        <v>354</v>
      </c>
      <c r="C25" s="429" t="s">
        <v>958</v>
      </c>
      <c r="D25" s="816"/>
      <c r="E25" s="816"/>
      <c r="F25" s="816"/>
      <c r="G25" s="435"/>
      <c r="I25" s="436"/>
      <c r="J25" s="432"/>
      <c r="K25" s="437"/>
      <c r="L25" s="841"/>
    </row>
    <row r="26" spans="2:13" ht="18">
      <c r="B26" s="421">
        <v>1</v>
      </c>
      <c r="C26" s="1020" t="s">
        <v>698</v>
      </c>
      <c r="G26" s="435"/>
      <c r="H26" s="815" t="s">
        <v>351</v>
      </c>
      <c r="I26" s="436">
        <f>0.15*0.25*12.8</f>
        <v>0.48</v>
      </c>
      <c r="J26" s="432">
        <v>5123000</v>
      </c>
      <c r="K26" s="437">
        <f t="shared" ref="K26:K34" si="1">I26*J26</f>
        <v>2459040</v>
      </c>
      <c r="L26" s="842"/>
    </row>
    <row r="27" spans="2:13" ht="18">
      <c r="B27" s="421">
        <f t="shared" ref="B27:B34" si="2">B26+1</f>
        <v>2</v>
      </c>
      <c r="C27" s="1020" t="s">
        <v>925</v>
      </c>
      <c r="G27" s="435"/>
      <c r="H27" s="815" t="s">
        <v>351</v>
      </c>
      <c r="I27" s="436">
        <f>0.2*0.2*8.3*9</f>
        <v>2.9880000000000004</v>
      </c>
      <c r="J27" s="432">
        <f>J26</f>
        <v>5123000</v>
      </c>
      <c r="K27" s="437">
        <f t="shared" si="1"/>
        <v>15307524.000000002</v>
      </c>
      <c r="L27" s="842"/>
    </row>
    <row r="28" spans="2:13" ht="18">
      <c r="B28" s="421">
        <f t="shared" si="2"/>
        <v>3</v>
      </c>
      <c r="C28" s="1020" t="s">
        <v>951</v>
      </c>
      <c r="G28" s="435"/>
      <c r="H28" s="815" t="s">
        <v>351</v>
      </c>
      <c r="I28" s="436">
        <f>0.15*0.3*47.8</f>
        <v>2.1509999999999998</v>
      </c>
      <c r="J28" s="432">
        <v>5123000</v>
      </c>
      <c r="K28" s="437">
        <f t="shared" si="1"/>
        <v>11019572.999999998</v>
      </c>
      <c r="L28" s="842"/>
      <c r="M28" s="819"/>
    </row>
    <row r="29" spans="2:13" ht="18">
      <c r="B29" s="421">
        <f t="shared" si="2"/>
        <v>4</v>
      </c>
      <c r="C29" s="1020" t="s">
        <v>952</v>
      </c>
      <c r="G29" s="435"/>
      <c r="H29" s="815" t="s">
        <v>351</v>
      </c>
      <c r="I29" s="436">
        <f>0.1*48</f>
        <v>4.8000000000000007</v>
      </c>
      <c r="J29" s="432">
        <f>J28</f>
        <v>5123000</v>
      </c>
      <c r="K29" s="437">
        <f t="shared" si="1"/>
        <v>24590400.000000004</v>
      </c>
      <c r="L29" s="842"/>
      <c r="M29" s="819"/>
    </row>
    <row r="30" spans="2:13" ht="18">
      <c r="B30" s="421">
        <f t="shared" si="2"/>
        <v>5</v>
      </c>
      <c r="C30" s="1020" t="s">
        <v>924</v>
      </c>
      <c r="G30" s="435"/>
      <c r="H30" s="815" t="s">
        <v>351</v>
      </c>
      <c r="I30" s="436">
        <f>0.05*0.07*8*3</f>
        <v>8.4000000000000019E-2</v>
      </c>
      <c r="J30" s="432">
        <v>14700000</v>
      </c>
      <c r="K30" s="437">
        <f t="shared" si="1"/>
        <v>1234800.0000000002</v>
      </c>
      <c r="L30" s="842"/>
      <c r="M30" s="819"/>
    </row>
    <row r="31" spans="2:13" ht="18">
      <c r="B31" s="421">
        <f t="shared" si="2"/>
        <v>6</v>
      </c>
      <c r="C31" s="1020" t="s">
        <v>923</v>
      </c>
      <c r="G31" s="435"/>
      <c r="H31" s="815" t="s">
        <v>351</v>
      </c>
      <c r="I31" s="436">
        <f>48*0.03</f>
        <v>1.44</v>
      </c>
      <c r="J31" s="432">
        <v>14700000</v>
      </c>
      <c r="K31" s="437">
        <f t="shared" si="1"/>
        <v>21168000</v>
      </c>
      <c r="L31" s="842"/>
      <c r="M31" s="819"/>
    </row>
    <row r="32" spans="2:13">
      <c r="B32" s="421">
        <f t="shared" si="2"/>
        <v>7</v>
      </c>
      <c r="C32" s="1021" t="s">
        <v>922</v>
      </c>
      <c r="D32" s="442"/>
      <c r="E32" s="442"/>
      <c r="F32" s="442"/>
      <c r="G32" s="443"/>
      <c r="H32" s="815" t="s">
        <v>356</v>
      </c>
      <c r="I32" s="436">
        <f>2*8*3*32.5/6</f>
        <v>260</v>
      </c>
      <c r="J32" s="432">
        <v>25000</v>
      </c>
      <c r="K32" s="437">
        <f t="shared" si="1"/>
        <v>6500000</v>
      </c>
      <c r="L32" s="842"/>
      <c r="M32" s="819"/>
    </row>
    <row r="33" spans="2:13">
      <c r="B33" s="421">
        <f t="shared" si="2"/>
        <v>8</v>
      </c>
      <c r="C33" s="1021" t="s">
        <v>953</v>
      </c>
      <c r="D33" s="442"/>
      <c r="E33" s="442"/>
      <c r="F33" s="442"/>
      <c r="G33" s="443"/>
      <c r="H33" s="815" t="s">
        <v>921</v>
      </c>
      <c r="I33" s="436">
        <f>33/6</f>
        <v>5.5</v>
      </c>
      <c r="J33" s="432">
        <v>365000</v>
      </c>
      <c r="K33" s="437">
        <f t="shared" si="1"/>
        <v>2007500</v>
      </c>
      <c r="L33" s="842"/>
      <c r="M33" s="819"/>
    </row>
    <row r="34" spans="2:13" ht="18">
      <c r="B34" s="421">
        <f t="shared" si="2"/>
        <v>9</v>
      </c>
      <c r="C34" s="1021" t="s">
        <v>920</v>
      </c>
      <c r="D34" s="442"/>
      <c r="E34" s="442"/>
      <c r="F34" s="442"/>
      <c r="G34" s="443"/>
      <c r="H34" s="815" t="s">
        <v>342</v>
      </c>
      <c r="I34" s="436">
        <f>8*1.2*2</f>
        <v>19.2</v>
      </c>
      <c r="J34" s="432">
        <v>350000</v>
      </c>
      <c r="K34" s="437">
        <f t="shared" si="1"/>
        <v>6720000</v>
      </c>
      <c r="L34" s="842"/>
      <c r="M34" s="819"/>
    </row>
    <row r="35" spans="2:13">
      <c r="B35" s="421"/>
      <c r="C35" s="441"/>
      <c r="D35" s="442"/>
      <c r="E35" s="442"/>
      <c r="F35" s="442"/>
      <c r="G35" s="443"/>
      <c r="I35" s="436"/>
      <c r="J35" s="432"/>
      <c r="K35" s="437"/>
      <c r="L35" s="842"/>
      <c r="M35" s="819"/>
    </row>
    <row r="36" spans="2:13">
      <c r="B36" s="421"/>
      <c r="C36" s="434"/>
      <c r="G36" s="883"/>
      <c r="I36" s="444"/>
      <c r="J36" s="439" t="s">
        <v>358</v>
      </c>
      <c r="K36" s="440">
        <f>SUM(K26:K35)</f>
        <v>91006837</v>
      </c>
      <c r="L36" s="843"/>
      <c r="M36" s="818"/>
    </row>
    <row r="37" spans="2:13">
      <c r="B37" s="428" t="s">
        <v>359</v>
      </c>
      <c r="C37" s="429" t="s">
        <v>385</v>
      </c>
      <c r="D37" s="816"/>
      <c r="E37" s="816"/>
      <c r="F37" s="816"/>
      <c r="G37" s="435"/>
      <c r="I37" s="444"/>
      <c r="J37" s="432"/>
      <c r="K37" s="437"/>
      <c r="L37" s="841"/>
    </row>
    <row r="38" spans="2:13" ht="18">
      <c r="B38" s="421">
        <v>1</v>
      </c>
      <c r="C38" s="434" t="s">
        <v>919</v>
      </c>
      <c r="G38" s="884"/>
      <c r="H38" s="815" t="s">
        <v>342</v>
      </c>
      <c r="I38" s="445">
        <f>8*1.2*2</f>
        <v>19.2</v>
      </c>
      <c r="J38" s="446">
        <v>150000</v>
      </c>
      <c r="K38" s="437">
        <f>I38*J38</f>
        <v>2880000</v>
      </c>
      <c r="L38" s="842"/>
    </row>
    <row r="39" spans="2:13">
      <c r="B39" s="421"/>
      <c r="C39" s="434"/>
      <c r="G39" s="884"/>
      <c r="I39" s="828"/>
      <c r="J39" s="446"/>
      <c r="K39" s="437"/>
      <c r="L39" s="842"/>
    </row>
    <row r="40" spans="2:13">
      <c r="B40" s="421"/>
      <c r="C40" s="434"/>
      <c r="G40" s="884"/>
      <c r="I40" s="444"/>
      <c r="J40" s="439" t="s">
        <v>361</v>
      </c>
      <c r="K40" s="440">
        <f>SUM(K38:K39)</f>
        <v>2880000</v>
      </c>
      <c r="L40" s="843"/>
      <c r="M40" s="817"/>
    </row>
    <row r="41" spans="2:13" ht="16.5" thickBot="1">
      <c r="B41" s="459"/>
      <c r="C41" s="1016"/>
      <c r="D41" s="1017"/>
      <c r="E41" s="1017"/>
      <c r="F41" s="1017"/>
      <c r="G41" s="1018"/>
      <c r="H41" s="463"/>
      <c r="I41" s="464"/>
      <c r="J41" s="465"/>
      <c r="K41" s="1002"/>
      <c r="L41" s="843"/>
      <c r="M41" s="817"/>
    </row>
    <row r="42" spans="2:13">
      <c r="B42" s="421"/>
      <c r="G42" s="851"/>
      <c r="I42" s="995"/>
      <c r="J42" s="974"/>
      <c r="K42" s="440"/>
      <c r="L42" s="843"/>
      <c r="M42" s="817"/>
    </row>
    <row r="43" spans="2:13">
      <c r="B43" s="421"/>
      <c r="G43" s="815"/>
      <c r="I43" s="968"/>
      <c r="J43" s="418" t="s">
        <v>410</v>
      </c>
      <c r="K43" s="467">
        <f>SUM(K13:K40)/2</f>
        <v>113743029</v>
      </c>
      <c r="L43" s="848"/>
      <c r="M43" s="818"/>
    </row>
    <row r="44" spans="2:13" ht="16.5" thickBot="1">
      <c r="B44" s="468"/>
      <c r="C44" s="470"/>
      <c r="D44" s="470"/>
      <c r="E44" s="470"/>
      <c r="F44" s="470"/>
      <c r="G44" s="470"/>
      <c r="H44" s="472"/>
      <c r="I44" s="969"/>
      <c r="J44" s="971"/>
      <c r="K44" s="475"/>
      <c r="L44" s="841"/>
    </row>
    <row r="45" spans="2:13" ht="16.5" thickTop="1">
      <c r="I45" s="476"/>
      <c r="J45" s="477"/>
      <c r="K45" s="478"/>
      <c r="L45" s="841"/>
    </row>
    <row r="46" spans="2:13">
      <c r="I46" s="476"/>
      <c r="J46" s="477"/>
      <c r="K46" s="479"/>
      <c r="L46" s="841"/>
    </row>
    <row r="47" spans="2:13">
      <c r="I47" s="476"/>
      <c r="J47" s="477"/>
      <c r="K47" s="478"/>
      <c r="L47" s="841"/>
    </row>
    <row r="48" spans="2:13">
      <c r="I48" s="476"/>
      <c r="J48" s="477"/>
      <c r="K48" s="479"/>
      <c r="L48" s="841"/>
    </row>
    <row r="49" spans="8:12">
      <c r="I49" s="476"/>
      <c r="J49" s="477"/>
      <c r="K49" s="479"/>
      <c r="L49" s="841"/>
    </row>
    <row r="50" spans="8:12">
      <c r="I50" s="476"/>
      <c r="J50" s="477"/>
      <c r="K50" s="479"/>
      <c r="L50" s="841"/>
    </row>
    <row r="51" spans="8:12">
      <c r="I51" s="476"/>
      <c r="J51" s="477"/>
      <c r="K51" s="479"/>
      <c r="L51" s="841"/>
    </row>
    <row r="52" spans="8:12">
      <c r="I52" s="476"/>
      <c r="J52" s="477"/>
      <c r="K52" s="479"/>
      <c r="L52" s="841"/>
    </row>
    <row r="53" spans="8:12">
      <c r="I53" s="476"/>
      <c r="J53" s="477"/>
      <c r="K53" s="479"/>
      <c r="L53" s="841"/>
    </row>
    <row r="54" spans="8:12">
      <c r="I54" s="476"/>
      <c r="J54" s="477"/>
      <c r="K54" s="479"/>
      <c r="L54" s="841"/>
    </row>
    <row r="55" spans="8:12">
      <c r="I55" s="476"/>
      <c r="J55" s="477"/>
      <c r="K55" s="479"/>
      <c r="L55" s="841"/>
    </row>
    <row r="56" spans="8:12">
      <c r="I56" s="476"/>
      <c r="J56" s="477"/>
      <c r="K56" s="479"/>
      <c r="L56" s="841"/>
    </row>
    <row r="58" spans="8:12">
      <c r="H58" s="851"/>
      <c r="K58" s="480"/>
    </row>
    <row r="59" spans="8:12">
      <c r="H59" s="851"/>
      <c r="K59" s="818"/>
    </row>
    <row r="60" spans="8:12">
      <c r="K60" s="481"/>
    </row>
    <row r="61" spans="8:12">
      <c r="H61" s="851"/>
    </row>
    <row r="66" spans="8:8">
      <c r="H66" s="853"/>
    </row>
  </sheetData>
  <mergeCells count="2">
    <mergeCell ref="I8:K8"/>
    <mergeCell ref="L6:L7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269FB6-5D7A-454C-821C-E890623310EC}">
  <sheetPr>
    <tabColor rgb="FFFFFF00"/>
    <pageSetUpPr fitToPage="1"/>
  </sheetPr>
  <dimension ref="A2:L32"/>
  <sheetViews>
    <sheetView workbookViewId="0">
      <selection activeCell="J16" sqref="J16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872" t="s">
        <v>0</v>
      </c>
      <c r="C3" s="41"/>
      <c r="E3" s="43"/>
      <c r="F3" s="44"/>
    </row>
    <row r="4" spans="1:12">
      <c r="B4" s="872" t="s">
        <v>884</v>
      </c>
      <c r="C4" s="41"/>
      <c r="E4" s="43"/>
      <c r="F4" s="44"/>
    </row>
    <row r="5" spans="1:12">
      <c r="B5" s="873" t="s">
        <v>1</v>
      </c>
      <c r="C5" s="41"/>
      <c r="E5" s="43"/>
      <c r="F5" s="44"/>
    </row>
    <row r="6" spans="1:12">
      <c r="B6" s="872" t="s">
        <v>2</v>
      </c>
      <c r="C6" s="41"/>
      <c r="E6" s="43"/>
      <c r="F6" s="44"/>
    </row>
    <row r="7" spans="1:12">
      <c r="B7" s="873" t="s">
        <v>3</v>
      </c>
      <c r="C7" s="41"/>
      <c r="E7" s="43"/>
      <c r="F7" s="44"/>
    </row>
    <row r="8" spans="1:12" ht="16.5" thickBot="1">
      <c r="F8" s="1136" t="s">
        <v>908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Jembatan Pandang Blok A</v>
      </c>
      <c r="D13" s="58"/>
      <c r="E13" s="58"/>
      <c r="F13" s="58"/>
      <c r="G13" s="58"/>
      <c r="H13" s="59"/>
    </row>
    <row r="14" spans="1:12" s="875" customFormat="1">
      <c r="A14" s="39"/>
      <c r="B14" s="55" t="s">
        <v>11</v>
      </c>
      <c r="C14" s="56" t="s">
        <v>340</v>
      </c>
      <c r="D14" s="58"/>
      <c r="E14" s="58"/>
      <c r="F14" s="58"/>
      <c r="G14" s="58"/>
      <c r="H14" s="874">
        <f>BQJembatanpandang!K19</f>
        <v>24200000</v>
      </c>
      <c r="I14" s="39"/>
      <c r="J14" s="39"/>
      <c r="K14" s="39"/>
      <c r="L14" s="39"/>
    </row>
    <row r="15" spans="1:12" s="875" customFormat="1">
      <c r="A15" s="39"/>
      <c r="B15" s="55"/>
      <c r="C15" s="56"/>
      <c r="D15" s="58"/>
      <c r="E15" s="58"/>
      <c r="F15" s="58"/>
      <c r="G15" s="58"/>
      <c r="H15" s="874"/>
      <c r="I15" s="39"/>
      <c r="J15" s="39"/>
      <c r="K15" s="39"/>
      <c r="L15" s="39"/>
    </row>
    <row r="16" spans="1:12" s="875" customFormat="1">
      <c r="A16" s="39"/>
      <c r="B16" s="55" t="s">
        <v>12</v>
      </c>
      <c r="C16" s="56" t="s">
        <v>191</v>
      </c>
      <c r="D16" s="58"/>
      <c r="E16" s="58"/>
      <c r="F16" s="58"/>
      <c r="G16" s="58"/>
      <c r="H16" s="874">
        <f>BQJembatanpandang!K29</f>
        <v>815283694.39461732</v>
      </c>
      <c r="I16" s="39"/>
      <c r="J16" s="39"/>
      <c r="K16" s="39"/>
      <c r="L16" s="39"/>
    </row>
    <row r="17" spans="1:12" s="875" customFormat="1">
      <c r="A17" s="39"/>
      <c r="B17" s="55"/>
      <c r="C17" s="56"/>
      <c r="D17" s="58"/>
      <c r="E17" s="58"/>
      <c r="F17" s="58"/>
      <c r="G17" s="58"/>
      <c r="H17" s="874"/>
      <c r="I17" s="39"/>
      <c r="J17" s="39"/>
      <c r="K17" s="39"/>
      <c r="L17" s="39"/>
    </row>
    <row r="18" spans="1:12" s="875" customFormat="1">
      <c r="A18" s="39"/>
      <c r="B18" s="55" t="s">
        <v>16</v>
      </c>
      <c r="C18" s="56" t="s">
        <v>805</v>
      </c>
      <c r="D18" s="58"/>
      <c r="E18" s="58"/>
      <c r="F18" s="58"/>
      <c r="G18" s="58"/>
      <c r="H18" s="874">
        <f>BQJembatanpandang!K50</f>
        <v>1608317008.2861953</v>
      </c>
      <c r="I18" s="39"/>
      <c r="J18" s="39"/>
      <c r="K18" s="39"/>
      <c r="L18" s="39"/>
    </row>
    <row r="19" spans="1:12" s="875" customFormat="1">
      <c r="A19" s="39"/>
      <c r="B19" s="55"/>
      <c r="C19" s="56"/>
      <c r="D19" s="58"/>
      <c r="E19" s="58"/>
      <c r="F19" s="58"/>
      <c r="G19" s="58"/>
      <c r="H19" s="874"/>
      <c r="I19" s="39"/>
      <c r="J19" s="39"/>
      <c r="K19" s="39"/>
      <c r="L19" s="39"/>
    </row>
    <row r="20" spans="1:12" s="875" customFormat="1">
      <c r="A20" s="39"/>
      <c r="B20" s="55"/>
      <c r="C20" s="56"/>
      <c r="D20" s="58"/>
      <c r="E20" s="58"/>
      <c r="F20" s="58"/>
      <c r="G20" s="58"/>
      <c r="H20" s="874"/>
      <c r="I20" s="39"/>
      <c r="J20" s="39"/>
      <c r="K20" s="39"/>
      <c r="L20" s="39"/>
    </row>
    <row r="21" spans="1:12" s="875" customFormat="1">
      <c r="A21" s="39"/>
      <c r="B21" s="55"/>
      <c r="C21" s="56"/>
      <c r="D21" s="58"/>
      <c r="E21" s="58"/>
      <c r="F21" s="58"/>
      <c r="G21" s="58"/>
      <c r="H21" s="874"/>
      <c r="I21" s="39"/>
      <c r="J21" s="39"/>
      <c r="K21" s="39"/>
      <c r="L21" s="39"/>
    </row>
    <row r="22" spans="1:12" s="875" customFormat="1">
      <c r="A22" s="39"/>
      <c r="B22" s="55"/>
      <c r="C22" s="56"/>
      <c r="D22" s="58"/>
      <c r="E22" s="58"/>
      <c r="F22" s="58"/>
      <c r="G22" s="58"/>
      <c r="H22" s="874"/>
      <c r="I22" s="39"/>
      <c r="J22" s="39"/>
      <c r="K22" s="39"/>
      <c r="L22" s="39"/>
    </row>
    <row r="23" spans="1:12" s="875" customFormat="1">
      <c r="A23" s="39"/>
      <c r="B23" s="55"/>
      <c r="C23" s="56"/>
      <c r="D23" s="58"/>
      <c r="E23" s="58"/>
      <c r="F23" s="58"/>
      <c r="G23" s="58"/>
      <c r="H23" s="874"/>
      <c r="I23" s="39"/>
      <c r="J23" s="39"/>
      <c r="K23" s="39"/>
      <c r="L23" s="39"/>
    </row>
    <row r="24" spans="1:12" s="875" customFormat="1">
      <c r="A24" s="39"/>
      <c r="B24" s="55"/>
      <c r="C24" s="56"/>
      <c r="D24" s="58"/>
      <c r="E24" s="58"/>
      <c r="F24" s="58"/>
      <c r="G24" s="58"/>
      <c r="H24" s="874"/>
      <c r="I24" s="39"/>
      <c r="J24" s="39"/>
      <c r="K24" s="39"/>
      <c r="L24" s="39"/>
    </row>
    <row r="25" spans="1:12" ht="16.5" thickBot="1">
      <c r="B25" s="69"/>
      <c r="C25" s="70"/>
      <c r="D25" s="70"/>
      <c r="E25" s="70"/>
      <c r="F25" s="70"/>
      <c r="G25" s="70"/>
      <c r="H25" s="876"/>
    </row>
    <row r="26" spans="1:12" ht="17.25" thickTop="1" thickBot="1">
      <c r="B26" s="72"/>
      <c r="C26" s="73"/>
      <c r="D26" s="73"/>
      <c r="E26" s="73"/>
      <c r="F26" s="74" t="s">
        <v>41</v>
      </c>
      <c r="G26" s="74"/>
      <c r="H26" s="75">
        <f>SUM(H14:H25)</f>
        <v>2447800702.6808128</v>
      </c>
    </row>
    <row r="27" spans="1:12" ht="16.5" thickTop="1">
      <c r="B27" s="76"/>
      <c r="C27" s="77"/>
      <c r="D27" s="77"/>
      <c r="E27" s="77"/>
      <c r="F27" s="77"/>
      <c r="G27" s="77"/>
      <c r="H27" s="78"/>
    </row>
    <row r="28" spans="1:12">
      <c r="B28" s="79"/>
      <c r="C28" s="56"/>
      <c r="D28" s="56"/>
      <c r="E28" s="58"/>
      <c r="F28" s="40"/>
      <c r="G28" s="43"/>
      <c r="H28" s="877"/>
    </row>
    <row r="29" spans="1:12">
      <c r="B29" s="81"/>
      <c r="C29" s="41"/>
      <c r="E29" s="44"/>
      <c r="H29" s="82"/>
    </row>
    <row r="30" spans="1:12">
      <c r="B30" s="81"/>
      <c r="C30" s="41"/>
      <c r="E30" s="44"/>
      <c r="H30" s="878"/>
    </row>
    <row r="31" spans="1:12" ht="16.5" thickBot="1">
      <c r="B31" s="84"/>
      <c r="C31" s="85"/>
      <c r="D31" s="85"/>
      <c r="E31" s="85"/>
      <c r="F31" s="85"/>
      <c r="G31" s="85"/>
      <c r="H31" s="86"/>
    </row>
    <row r="32" spans="1:12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7311C2-A8D5-483F-8CC7-373D21845A8C}">
  <dimension ref="A3:P78"/>
  <sheetViews>
    <sheetView topLeftCell="A13" zoomScale="120" zoomScaleNormal="120" workbookViewId="0">
      <selection activeCell="J16" sqref="J16"/>
    </sheetView>
  </sheetViews>
  <sheetFormatPr defaultColWidth="9.140625" defaultRowHeight="15.75"/>
  <cols>
    <col min="1" max="1" width="9.140625" style="558"/>
    <col min="2" max="2" width="6.42578125" style="558" customWidth="1"/>
    <col min="3" max="7" width="10.7109375" style="558" customWidth="1"/>
    <col min="8" max="8" width="7.42578125" style="559" bestFit="1" customWidth="1"/>
    <col min="9" max="9" width="11.7109375" style="558" customWidth="1"/>
    <col min="10" max="10" width="13.5703125" style="923" customWidth="1"/>
    <col min="11" max="11" width="15.5703125" style="558" customWidth="1"/>
    <col min="12" max="12" width="9.28515625" style="558" customWidth="1"/>
    <col min="13" max="15" width="9.140625" style="558"/>
    <col min="16" max="16" width="14.140625" style="558" customWidth="1"/>
    <col min="17" max="17" width="11" style="558" bestFit="1" customWidth="1"/>
    <col min="18" max="16384" width="9.140625" style="558"/>
  </cols>
  <sheetData>
    <row r="3" spans="2:12">
      <c r="B3" s="414" t="s">
        <v>0</v>
      </c>
      <c r="C3" s="2"/>
      <c r="D3" s="1"/>
      <c r="E3" s="5"/>
      <c r="F3" s="6"/>
      <c r="G3" s="1"/>
      <c r="H3" s="1"/>
      <c r="I3" s="949"/>
      <c r="J3" s="292"/>
      <c r="K3" s="292"/>
    </row>
    <row r="4" spans="2:12">
      <c r="B4" s="859" t="s">
        <v>884</v>
      </c>
      <c r="C4" s="2"/>
      <c r="D4" s="1"/>
      <c r="E4" s="5"/>
      <c r="F4" s="6"/>
      <c r="G4" s="1"/>
      <c r="H4" s="1"/>
      <c r="I4" s="949"/>
      <c r="J4" s="292"/>
      <c r="K4" s="292"/>
    </row>
    <row r="5" spans="2:12">
      <c r="B5" s="850" t="s">
        <v>1</v>
      </c>
      <c r="C5" s="2"/>
      <c r="D5" s="1"/>
      <c r="E5" s="5"/>
      <c r="F5" s="6"/>
      <c r="G5" s="1"/>
      <c r="H5" s="1"/>
      <c r="I5" s="949"/>
      <c r="J5" s="292"/>
      <c r="K5" s="292"/>
    </row>
    <row r="6" spans="2:12">
      <c r="B6" s="414" t="s">
        <v>2</v>
      </c>
      <c r="C6" s="2"/>
      <c r="D6" s="1"/>
      <c r="E6" s="5"/>
      <c r="F6" s="6"/>
      <c r="G6" s="1"/>
      <c r="H6" s="1"/>
      <c r="I6" s="949"/>
      <c r="J6" s="292"/>
      <c r="K6" s="292"/>
    </row>
    <row r="7" spans="2:12">
      <c r="B7" s="850" t="s">
        <v>3</v>
      </c>
      <c r="C7" s="2"/>
      <c r="D7" s="1"/>
      <c r="E7" s="5"/>
      <c r="F7" s="6"/>
      <c r="G7" s="1"/>
      <c r="H7" s="1"/>
      <c r="I7" s="949"/>
      <c r="J7" s="292"/>
      <c r="K7" s="292"/>
    </row>
    <row r="8" spans="2:12" ht="16.5" thickBot="1">
      <c r="B8" s="1"/>
      <c r="C8" s="1"/>
      <c r="D8" s="1"/>
      <c r="E8" s="1"/>
      <c r="F8" s="1"/>
      <c r="G8" s="1"/>
      <c r="H8" s="1"/>
      <c r="I8" s="1136" t="str">
        <f>'17SumJembPdg'!F8</f>
        <v>No. 017/RAB-Blok A-SSBP/I/2021</v>
      </c>
      <c r="J8" s="1136"/>
      <c r="K8" s="1136"/>
    </row>
    <row r="9" spans="2:12" ht="16.5" thickTop="1">
      <c r="B9" s="962"/>
      <c r="C9" s="961"/>
      <c r="D9" s="9"/>
      <c r="E9" s="9"/>
      <c r="F9" s="9"/>
      <c r="G9" s="960"/>
      <c r="H9" s="959"/>
      <c r="I9" s="948"/>
      <c r="J9" s="860" t="s">
        <v>4</v>
      </c>
      <c r="K9" s="879" t="s">
        <v>5</v>
      </c>
    </row>
    <row r="10" spans="2:12" ht="15.6" customHeight="1">
      <c r="B10" s="958" t="s">
        <v>6</v>
      </c>
      <c r="C10" s="957" t="s">
        <v>7</v>
      </c>
      <c r="D10" s="15"/>
      <c r="E10" s="15"/>
      <c r="F10" s="15"/>
      <c r="G10" s="956"/>
      <c r="H10" s="5" t="s">
        <v>8</v>
      </c>
      <c r="I10" s="947" t="s">
        <v>9</v>
      </c>
      <c r="J10" s="862" t="s">
        <v>8</v>
      </c>
      <c r="K10" s="880" t="s">
        <v>4</v>
      </c>
      <c r="L10" s="1139"/>
    </row>
    <row r="11" spans="2:12" ht="16.5" thickBot="1">
      <c r="B11" s="955"/>
      <c r="C11" s="954"/>
      <c r="D11" s="21"/>
      <c r="E11" s="21"/>
      <c r="F11" s="21"/>
      <c r="G11" s="953"/>
      <c r="H11" s="952"/>
      <c r="I11" s="946"/>
      <c r="J11" s="864" t="s">
        <v>10</v>
      </c>
      <c r="K11" s="881" t="s">
        <v>10</v>
      </c>
      <c r="L11" s="1140"/>
    </row>
    <row r="12" spans="2:12" ht="16.5" thickTop="1">
      <c r="B12" s="561"/>
      <c r="C12" s="562"/>
      <c r="D12" s="563"/>
      <c r="E12" s="563"/>
      <c r="F12" s="563"/>
      <c r="G12" s="945"/>
      <c r="I12" s="571"/>
      <c r="J12" s="454"/>
      <c r="K12" s="567"/>
      <c r="L12" s="944"/>
    </row>
    <row r="13" spans="2:12">
      <c r="B13" s="449" t="s">
        <v>339</v>
      </c>
      <c r="C13" s="568" t="s">
        <v>340</v>
      </c>
      <c r="D13" s="569"/>
      <c r="E13" s="569"/>
      <c r="F13" s="569"/>
      <c r="G13" s="575"/>
      <c r="I13" s="571"/>
      <c r="J13" s="454"/>
      <c r="K13" s="573"/>
      <c r="L13" s="924"/>
    </row>
    <row r="14" spans="2:12" ht="18">
      <c r="B14" s="561">
        <v>1</v>
      </c>
      <c r="C14" s="574" t="s">
        <v>343</v>
      </c>
      <c r="G14" s="575"/>
      <c r="H14" s="559" t="s">
        <v>497</v>
      </c>
      <c r="I14" s="453">
        <f>'[85]analisa ARS 107CAPE 200'!E7</f>
        <v>64</v>
      </c>
      <c r="J14" s="454">
        <v>50000</v>
      </c>
      <c r="K14" s="455">
        <f>I14*J14</f>
        <v>3200000</v>
      </c>
      <c r="L14" s="929"/>
    </row>
    <row r="15" spans="2:12">
      <c r="B15" s="561">
        <f>B14+1</f>
        <v>2</v>
      </c>
      <c r="C15" s="574" t="s">
        <v>345</v>
      </c>
      <c r="G15" s="575"/>
      <c r="H15" s="559" t="s">
        <v>14</v>
      </c>
      <c r="I15" s="453">
        <v>350</v>
      </c>
      <c r="J15" s="454">
        <v>50000</v>
      </c>
      <c r="K15" s="455">
        <f>I15*J15</f>
        <v>17500000</v>
      </c>
      <c r="L15" s="929"/>
    </row>
    <row r="16" spans="2:12">
      <c r="B16" s="561">
        <f>B15+1</f>
        <v>3</v>
      </c>
      <c r="C16" s="574" t="s">
        <v>346</v>
      </c>
      <c r="G16" s="575"/>
      <c r="H16" s="559" t="s">
        <v>18</v>
      </c>
      <c r="I16" s="453">
        <v>1</v>
      </c>
      <c r="J16" s="454">
        <v>1000000</v>
      </c>
      <c r="K16" s="455">
        <f>I16*J16</f>
        <v>1000000</v>
      </c>
      <c r="L16" s="929"/>
    </row>
    <row r="17" spans="2:12">
      <c r="B17" s="561">
        <f>B16+1</f>
        <v>4</v>
      </c>
      <c r="C17" s="574" t="s">
        <v>347</v>
      </c>
      <c r="G17" s="575"/>
      <c r="H17" s="559" t="s">
        <v>18</v>
      </c>
      <c r="I17" s="453">
        <v>1</v>
      </c>
      <c r="J17" s="454">
        <v>2500000</v>
      </c>
      <c r="K17" s="455">
        <f>I17*J17</f>
        <v>2500000</v>
      </c>
      <c r="L17" s="929"/>
    </row>
    <row r="18" spans="2:12">
      <c r="B18" s="576"/>
      <c r="C18" s="574"/>
      <c r="G18" s="575"/>
      <c r="I18" s="453"/>
      <c r="J18" s="454"/>
      <c r="K18" s="455"/>
      <c r="L18" s="929"/>
    </row>
    <row r="19" spans="2:12">
      <c r="B19" s="561"/>
      <c r="C19" s="574"/>
      <c r="G19" s="943"/>
      <c r="I19" s="453"/>
      <c r="J19" s="938" t="s">
        <v>348</v>
      </c>
      <c r="K19" s="578">
        <f>SUM(K14:K17)</f>
        <v>24200000</v>
      </c>
      <c r="L19" s="928"/>
    </row>
    <row r="20" spans="2:12">
      <c r="B20" s="449" t="s">
        <v>349</v>
      </c>
      <c r="C20" s="568" t="s">
        <v>191</v>
      </c>
      <c r="D20" s="569"/>
      <c r="E20" s="569"/>
      <c r="F20" s="569"/>
      <c r="G20" s="575"/>
      <c r="I20" s="453"/>
      <c r="J20" s="454"/>
      <c r="K20" s="455"/>
      <c r="L20" s="924"/>
    </row>
    <row r="21" spans="2:12">
      <c r="B21" s="561">
        <v>1</v>
      </c>
      <c r="C21" s="434" t="s">
        <v>350</v>
      </c>
      <c r="G21" s="575"/>
      <c r="H21" s="559" t="s">
        <v>813</v>
      </c>
      <c r="I21" s="453">
        <f>96*13.6</f>
        <v>1305.5999999999999</v>
      </c>
      <c r="J21" s="454">
        <f>[83]BQResto1000!J21</f>
        <v>360000</v>
      </c>
      <c r="K21" s="455">
        <f t="shared" ref="K21:K27" si="0">I21*J21</f>
        <v>470015999.99999994</v>
      </c>
      <c r="L21" s="929"/>
    </row>
    <row r="22" spans="2:12" ht="18">
      <c r="B22" s="561">
        <f t="shared" ref="B22:B27" si="1">B21+1</f>
        <v>2</v>
      </c>
      <c r="C22" s="574" t="s">
        <v>777</v>
      </c>
      <c r="G22" s="575"/>
      <c r="H22" s="559" t="s">
        <v>498</v>
      </c>
      <c r="I22" s="453">
        <f>(0.9*1.5*1.5*16)+(1.5*2*1.5*16)</f>
        <v>104.4</v>
      </c>
      <c r="J22" s="454">
        <v>150000</v>
      </c>
      <c r="K22" s="455">
        <f t="shared" si="0"/>
        <v>15660000</v>
      </c>
      <c r="L22" s="929"/>
    </row>
    <row r="23" spans="2:12" ht="18">
      <c r="B23" s="561">
        <f t="shared" si="1"/>
        <v>3</v>
      </c>
      <c r="C23" s="574" t="s">
        <v>352</v>
      </c>
      <c r="G23" s="575"/>
      <c r="H23" s="559" t="s">
        <v>498</v>
      </c>
      <c r="I23" s="453">
        <f>(0.6*1.5*0.05*16)+(0.05*1.5*2*16)</f>
        <v>3.12</v>
      </c>
      <c r="J23" s="454">
        <v>310000</v>
      </c>
      <c r="K23" s="455">
        <f t="shared" si="0"/>
        <v>967200</v>
      </c>
      <c r="L23" s="929"/>
    </row>
    <row r="24" spans="2:12">
      <c r="B24" s="561">
        <f t="shared" si="1"/>
        <v>4</v>
      </c>
      <c r="C24" s="574" t="s">
        <v>797</v>
      </c>
      <c r="G24" s="575"/>
      <c r="H24" s="559" t="s">
        <v>18</v>
      </c>
      <c r="I24" s="453">
        <v>16</v>
      </c>
      <c r="J24" s="583">
        <f>'[83]ARS 127'!E53</f>
        <v>2142075</v>
      </c>
      <c r="K24" s="455">
        <f t="shared" si="0"/>
        <v>34273200</v>
      </c>
      <c r="L24" s="929"/>
    </row>
    <row r="25" spans="2:12">
      <c r="B25" s="561">
        <f t="shared" si="1"/>
        <v>5</v>
      </c>
      <c r="C25" s="574" t="s">
        <v>821</v>
      </c>
      <c r="G25" s="575"/>
      <c r="H25" s="559" t="s">
        <v>18</v>
      </c>
      <c r="I25" s="453">
        <v>16</v>
      </c>
      <c r="J25" s="454">
        <f>'[83]ARS 127'!E63</f>
        <v>5331420</v>
      </c>
      <c r="K25" s="455">
        <f t="shared" si="0"/>
        <v>85302720</v>
      </c>
      <c r="L25" s="929"/>
    </row>
    <row r="26" spans="2:12">
      <c r="B26" s="561">
        <f t="shared" si="1"/>
        <v>6</v>
      </c>
      <c r="C26" s="574" t="s">
        <v>905</v>
      </c>
      <c r="G26" s="575"/>
      <c r="H26" s="559" t="s">
        <v>21</v>
      </c>
      <c r="I26" s="453">
        <v>16</v>
      </c>
      <c r="J26" s="454">
        <f>'[83]ARS 127'!L33</f>
        <v>6336639.3034541272</v>
      </c>
      <c r="K26" s="455">
        <f t="shared" si="0"/>
        <v>101386228.85526603</v>
      </c>
      <c r="L26" s="929"/>
    </row>
    <row r="27" spans="2:12">
      <c r="B27" s="561">
        <f t="shared" si="1"/>
        <v>7</v>
      </c>
      <c r="C27" s="574" t="s">
        <v>904</v>
      </c>
      <c r="G27" s="575"/>
      <c r="H27" s="559" t="s">
        <v>21</v>
      </c>
      <c r="I27" s="453">
        <v>16</v>
      </c>
      <c r="J27" s="454">
        <f>'[83]ARS 127'!L41</f>
        <v>6729896.5962094553</v>
      </c>
      <c r="K27" s="455">
        <f t="shared" si="0"/>
        <v>107678345.53935128</v>
      </c>
      <c r="L27" s="929"/>
    </row>
    <row r="28" spans="2:12">
      <c r="B28" s="561"/>
      <c r="C28" s="574"/>
      <c r="G28" s="575"/>
      <c r="I28" s="453"/>
      <c r="J28" s="454"/>
      <c r="K28" s="455"/>
      <c r="L28" s="929"/>
    </row>
    <row r="29" spans="2:12">
      <c r="B29" s="561"/>
      <c r="C29" s="574"/>
      <c r="G29" s="943"/>
      <c r="I29" s="453"/>
      <c r="J29" s="938" t="s">
        <v>348</v>
      </c>
      <c r="K29" s="578">
        <f>SUM(K21:K27)</f>
        <v>815283694.39461732</v>
      </c>
      <c r="L29" s="928"/>
    </row>
    <row r="30" spans="2:12">
      <c r="B30" s="449" t="s">
        <v>354</v>
      </c>
      <c r="C30" s="568" t="s">
        <v>805</v>
      </c>
      <c r="D30" s="569"/>
      <c r="E30" s="569"/>
      <c r="F30" s="569"/>
      <c r="G30" s="575"/>
      <c r="I30" s="453"/>
      <c r="J30" s="454"/>
      <c r="K30" s="455"/>
      <c r="L30" s="924"/>
    </row>
    <row r="31" spans="2:12">
      <c r="B31" s="561">
        <v>1</v>
      </c>
      <c r="C31" s="574" t="s">
        <v>903</v>
      </c>
      <c r="G31" s="575"/>
      <c r="H31" s="559" t="s">
        <v>901</v>
      </c>
      <c r="I31" s="453">
        <v>8</v>
      </c>
      <c r="J31" s="454">
        <f>3000000*1.25</f>
        <v>3750000</v>
      </c>
      <c r="K31" s="455">
        <f>J31*I31</f>
        <v>30000000</v>
      </c>
      <c r="L31" s="929"/>
    </row>
    <row r="32" spans="2:12">
      <c r="B32" s="561">
        <f t="shared" ref="B32:B48" si="2">B31+1</f>
        <v>2</v>
      </c>
      <c r="C32" s="574" t="s">
        <v>902</v>
      </c>
      <c r="G32" s="575"/>
      <c r="H32" s="559" t="s">
        <v>901</v>
      </c>
      <c r="I32" s="453">
        <v>24</v>
      </c>
      <c r="J32" s="454">
        <f>1100000*2*1.2</f>
        <v>2640000</v>
      </c>
      <c r="K32" s="455">
        <f>J32*I32</f>
        <v>63360000</v>
      </c>
      <c r="L32" s="929"/>
    </row>
    <row r="33" spans="1:12">
      <c r="B33" s="561">
        <f t="shared" si="2"/>
        <v>3</v>
      </c>
      <c r="C33" s="574" t="s">
        <v>900</v>
      </c>
      <c r="G33" s="575"/>
      <c r="H33" s="559" t="s">
        <v>356</v>
      </c>
      <c r="I33" s="453">
        <f>'[83]ARS 127'!F114*24</f>
        <v>13927.82585858586</v>
      </c>
      <c r="J33" s="454">
        <v>22000</v>
      </c>
      <c r="K33" s="455">
        <f t="shared" ref="K33:K48" si="3">I33*J33</f>
        <v>306412168.88888896</v>
      </c>
      <c r="L33" s="929"/>
    </row>
    <row r="34" spans="1:12">
      <c r="A34" s="558" t="s">
        <v>899</v>
      </c>
      <c r="B34" s="561">
        <f t="shared" si="2"/>
        <v>4</v>
      </c>
      <c r="C34" s="574" t="s">
        <v>898</v>
      </c>
      <c r="G34" s="575"/>
      <c r="H34" s="559" t="s">
        <v>356</v>
      </c>
      <c r="I34" s="453">
        <f>'[83]ARS 127'!F122*8</f>
        <v>6734.6086195286189</v>
      </c>
      <c r="J34" s="454">
        <f>J33</f>
        <v>22000</v>
      </c>
      <c r="K34" s="455">
        <f t="shared" si="3"/>
        <v>148161389.62962961</v>
      </c>
      <c r="L34" s="929"/>
    </row>
    <row r="35" spans="1:12">
      <c r="B35" s="561">
        <f t="shared" si="2"/>
        <v>5</v>
      </c>
      <c r="C35" s="574" t="s">
        <v>897</v>
      </c>
      <c r="G35" s="575"/>
      <c r="H35" s="559" t="s">
        <v>356</v>
      </c>
      <c r="I35" s="453">
        <f>'[83]ARS 127'!F96</f>
        <v>1752.6666666666665</v>
      </c>
      <c r="J35" s="454">
        <f>J34</f>
        <v>22000</v>
      </c>
      <c r="K35" s="455">
        <f t="shared" si="3"/>
        <v>38558666.666666664</v>
      </c>
      <c r="L35" s="929"/>
    </row>
    <row r="36" spans="1:12">
      <c r="B36" s="561">
        <f t="shared" si="2"/>
        <v>6</v>
      </c>
      <c r="C36" s="574" t="s">
        <v>896</v>
      </c>
      <c r="G36" s="575"/>
      <c r="H36" s="559" t="s">
        <v>356</v>
      </c>
      <c r="I36" s="453">
        <f>'[83]ARS 127'!F100</f>
        <v>15590.416666666666</v>
      </c>
      <c r="J36" s="454">
        <f>J35</f>
        <v>22000</v>
      </c>
      <c r="K36" s="455">
        <f t="shared" si="3"/>
        <v>342989166.66666663</v>
      </c>
      <c r="L36" s="929"/>
    </row>
    <row r="37" spans="1:12">
      <c r="B37" s="561">
        <f t="shared" si="2"/>
        <v>7</v>
      </c>
      <c r="C37" s="574" t="s">
        <v>895</v>
      </c>
      <c r="G37" s="575"/>
      <c r="H37" s="559" t="s">
        <v>356</v>
      </c>
      <c r="I37" s="453">
        <f>'[83]ARS 127'!F104</f>
        <v>669.19999999999993</v>
      </c>
      <c r="J37" s="454">
        <f>J36</f>
        <v>22000</v>
      </c>
      <c r="K37" s="455">
        <f t="shared" si="3"/>
        <v>14722399.999999998</v>
      </c>
      <c r="L37" s="929"/>
    </row>
    <row r="38" spans="1:12">
      <c r="B38" s="561">
        <f t="shared" si="2"/>
        <v>8</v>
      </c>
      <c r="C38" s="574" t="s">
        <v>894</v>
      </c>
      <c r="G38" s="458"/>
      <c r="H38" s="559" t="s">
        <v>337</v>
      </c>
      <c r="I38" s="453">
        <f>(80*7)/12</f>
        <v>46.666666666666664</v>
      </c>
      <c r="J38" s="454">
        <v>333000</v>
      </c>
      <c r="K38" s="455">
        <f t="shared" si="3"/>
        <v>15540000</v>
      </c>
      <c r="L38" s="929"/>
    </row>
    <row r="39" spans="1:12">
      <c r="B39" s="561">
        <f t="shared" si="2"/>
        <v>9</v>
      </c>
      <c r="C39" s="574" t="s">
        <v>367</v>
      </c>
      <c r="G39" s="458"/>
      <c r="H39" s="559" t="s">
        <v>21</v>
      </c>
      <c r="I39" s="453">
        <v>160</v>
      </c>
      <c r="J39" s="454">
        <v>90000</v>
      </c>
      <c r="K39" s="455">
        <f t="shared" si="3"/>
        <v>14400000</v>
      </c>
      <c r="L39" s="929"/>
    </row>
    <row r="40" spans="1:12" ht="18">
      <c r="B40" s="561">
        <f t="shared" si="2"/>
        <v>10</v>
      </c>
      <c r="C40" s="574" t="s">
        <v>893</v>
      </c>
      <c r="G40" s="458"/>
      <c r="H40" s="559" t="s">
        <v>498</v>
      </c>
      <c r="I40" s="453">
        <f>0.25*0.5*156.5</f>
        <v>19.5625</v>
      </c>
      <c r="J40" s="454">
        <f>'[83] RAB'!N204</f>
        <v>4694000</v>
      </c>
      <c r="K40" s="455">
        <f t="shared" si="3"/>
        <v>91826375</v>
      </c>
      <c r="L40" s="929"/>
    </row>
    <row r="41" spans="1:12" ht="18">
      <c r="B41" s="561">
        <f t="shared" si="2"/>
        <v>11</v>
      </c>
      <c r="C41" s="574" t="s">
        <v>892</v>
      </c>
      <c r="G41" s="458"/>
      <c r="H41" s="559" t="s">
        <v>498</v>
      </c>
      <c r="I41" s="453">
        <f>6*13*0.12</f>
        <v>9.36</v>
      </c>
      <c r="J41" s="454">
        <f>'[83] RAB'!N213</f>
        <v>2856000</v>
      </c>
      <c r="K41" s="455">
        <f t="shared" si="3"/>
        <v>26732160</v>
      </c>
      <c r="L41" s="929"/>
    </row>
    <row r="42" spans="1:12" ht="18">
      <c r="B42" s="561">
        <f t="shared" si="2"/>
        <v>12</v>
      </c>
      <c r="C42" s="574" t="s">
        <v>891</v>
      </c>
      <c r="G42" s="458"/>
      <c r="H42" s="559" t="s">
        <v>498</v>
      </c>
      <c r="I42" s="453">
        <f>6*24*0.12</f>
        <v>17.28</v>
      </c>
      <c r="J42" s="454">
        <f>J41</f>
        <v>2856000</v>
      </c>
      <c r="K42" s="455">
        <f t="shared" si="3"/>
        <v>49351680</v>
      </c>
      <c r="L42" s="929"/>
    </row>
    <row r="43" spans="1:12" ht="18">
      <c r="B43" s="561">
        <f t="shared" si="2"/>
        <v>13</v>
      </c>
      <c r="C43" s="574" t="s">
        <v>890</v>
      </c>
      <c r="G43" s="458"/>
      <c r="H43" s="559" t="s">
        <v>498</v>
      </c>
      <c r="I43" s="453">
        <f>2*66.7*0.12</f>
        <v>16.007999999999999</v>
      </c>
      <c r="J43" s="454">
        <f>J42</f>
        <v>2856000</v>
      </c>
      <c r="K43" s="455">
        <f t="shared" si="3"/>
        <v>45718848</v>
      </c>
      <c r="L43" s="929"/>
    </row>
    <row r="44" spans="1:12" ht="18">
      <c r="B44" s="561">
        <f t="shared" si="2"/>
        <v>14</v>
      </c>
      <c r="C44" s="574" t="s">
        <v>889</v>
      </c>
      <c r="G44" s="458"/>
      <c r="H44" s="559" t="s">
        <v>496</v>
      </c>
      <c r="I44" s="453">
        <f>2*4.2</f>
        <v>8.4</v>
      </c>
      <c r="J44" s="454">
        <v>300000</v>
      </c>
      <c r="K44" s="455">
        <f t="shared" si="3"/>
        <v>2520000</v>
      </c>
      <c r="L44" s="929"/>
    </row>
    <row r="45" spans="1:12" ht="18">
      <c r="B45" s="561">
        <f t="shared" si="2"/>
        <v>15</v>
      </c>
      <c r="C45" s="574" t="s">
        <v>888</v>
      </c>
      <c r="G45" s="458"/>
      <c r="H45" s="559" t="s">
        <v>496</v>
      </c>
      <c r="I45" s="453">
        <f>212*1</f>
        <v>212</v>
      </c>
      <c r="J45" s="454">
        <v>500000</v>
      </c>
      <c r="K45" s="455">
        <f t="shared" si="3"/>
        <v>106000000</v>
      </c>
      <c r="L45" s="929"/>
    </row>
    <row r="46" spans="1:12" ht="18">
      <c r="B46" s="561">
        <f t="shared" si="2"/>
        <v>16</v>
      </c>
      <c r="C46" s="574" t="s">
        <v>887</v>
      </c>
      <c r="G46" s="458"/>
      <c r="H46" s="559" t="s">
        <v>496</v>
      </c>
      <c r="I46" s="453">
        <f>112*3.5</f>
        <v>392</v>
      </c>
      <c r="J46" s="454">
        <f>J45</f>
        <v>500000</v>
      </c>
      <c r="K46" s="455">
        <f t="shared" si="3"/>
        <v>196000000</v>
      </c>
      <c r="L46" s="929"/>
    </row>
    <row r="47" spans="1:12">
      <c r="B47" s="561">
        <f t="shared" si="2"/>
        <v>17</v>
      </c>
      <c r="C47" s="574" t="s">
        <v>886</v>
      </c>
      <c r="G47" s="458"/>
      <c r="H47" s="559" t="s">
        <v>356</v>
      </c>
      <c r="I47" s="453">
        <f>SUM(I33:I37)</f>
        <v>38674.717811447808</v>
      </c>
      <c r="J47" s="454">
        <v>1500</v>
      </c>
      <c r="K47" s="455">
        <f t="shared" si="3"/>
        <v>58012076.717171714</v>
      </c>
      <c r="L47" s="929"/>
    </row>
    <row r="48" spans="1:12">
      <c r="B48" s="561">
        <f t="shared" si="2"/>
        <v>18</v>
      </c>
      <c r="C48" s="574" t="s">
        <v>885</v>
      </c>
      <c r="G48" s="458"/>
      <c r="H48" s="559" t="s">
        <v>356</v>
      </c>
      <c r="I48" s="453">
        <f>I47</f>
        <v>38674.717811447808</v>
      </c>
      <c r="J48" s="454">
        <f>J47</f>
        <v>1500</v>
      </c>
      <c r="K48" s="455">
        <f t="shared" si="3"/>
        <v>58012076.717171714</v>
      </c>
      <c r="L48" s="929"/>
    </row>
    <row r="49" spans="2:16">
      <c r="B49" s="561"/>
      <c r="C49" s="574"/>
      <c r="G49" s="575"/>
      <c r="I49" s="453"/>
      <c r="J49" s="454"/>
      <c r="K49" s="455"/>
      <c r="L49" s="929"/>
    </row>
    <row r="50" spans="2:16">
      <c r="B50" s="561"/>
      <c r="C50" s="574"/>
      <c r="G50" s="943"/>
      <c r="I50" s="453"/>
      <c r="J50" s="938" t="s">
        <v>358</v>
      </c>
      <c r="K50" s="578">
        <f>SUM(K31:K48)</f>
        <v>1608317008.2861953</v>
      </c>
      <c r="L50" s="928"/>
    </row>
    <row r="51" spans="2:16">
      <c r="B51" s="991"/>
      <c r="C51" s="574"/>
      <c r="G51" s="575"/>
      <c r="I51" s="453"/>
      <c r="J51" s="454"/>
      <c r="K51" s="455"/>
      <c r="L51" s="929"/>
    </row>
    <row r="52" spans="2:16" ht="16.5" thickBot="1">
      <c r="B52" s="591"/>
      <c r="C52" s="592"/>
      <c r="D52" s="593"/>
      <c r="E52" s="593"/>
      <c r="F52" s="593"/>
      <c r="G52" s="937"/>
      <c r="H52" s="595"/>
      <c r="I52" s="596"/>
      <c r="J52" s="935"/>
      <c r="K52" s="598"/>
      <c r="L52" s="928"/>
      <c r="P52" s="585"/>
    </row>
    <row r="53" spans="2:16">
      <c r="B53" s="561"/>
      <c r="G53" s="612"/>
      <c r="I53" s="975"/>
      <c r="J53" s="990"/>
      <c r="K53" s="578"/>
      <c r="L53" s="924"/>
    </row>
    <row r="54" spans="2:16">
      <c r="B54" s="561"/>
      <c r="G54" s="559"/>
      <c r="I54" s="975"/>
      <c r="J54" s="990"/>
      <c r="K54" s="599">
        <f>SUM(K14:K53)/2</f>
        <v>2447800702.6808124</v>
      </c>
      <c r="L54" s="927"/>
    </row>
    <row r="55" spans="2:16" ht="16.5" thickBot="1">
      <c r="B55" s="600"/>
      <c r="C55" s="602"/>
      <c r="D55" s="602"/>
      <c r="E55" s="602"/>
      <c r="F55" s="602"/>
      <c r="G55" s="602"/>
      <c r="H55" s="604"/>
      <c r="I55" s="989"/>
      <c r="J55" s="988"/>
      <c r="K55" s="607"/>
      <c r="L55" s="924"/>
    </row>
    <row r="56" spans="2:16" ht="16.5" thickTop="1">
      <c r="I56" s="608"/>
      <c r="J56" s="925"/>
      <c r="K56" s="611"/>
      <c r="L56" s="924"/>
    </row>
    <row r="57" spans="2:16">
      <c r="I57" s="608"/>
      <c r="J57" s="925"/>
      <c r="K57" s="610"/>
      <c r="L57" s="924"/>
    </row>
    <row r="58" spans="2:16">
      <c r="I58" s="608"/>
      <c r="J58" s="925"/>
      <c r="K58" s="611"/>
      <c r="L58" s="924"/>
    </row>
    <row r="59" spans="2:16">
      <c r="I59" s="608"/>
      <c r="J59" s="925"/>
      <c r="K59" s="610"/>
      <c r="L59" s="924"/>
    </row>
    <row r="60" spans="2:16">
      <c r="I60" s="608"/>
      <c r="J60" s="925"/>
      <c r="K60" s="611"/>
      <c r="L60" s="924"/>
    </row>
    <row r="61" spans="2:16">
      <c r="I61" s="608"/>
      <c r="J61" s="925"/>
      <c r="K61" s="611"/>
      <c r="L61" s="924"/>
    </row>
    <row r="62" spans="2:16">
      <c r="I62" s="608"/>
      <c r="J62" s="925"/>
      <c r="K62" s="611"/>
      <c r="L62" s="924"/>
    </row>
    <row r="63" spans="2:16">
      <c r="I63" s="608"/>
      <c r="J63" s="925"/>
      <c r="K63" s="611"/>
      <c r="L63" s="924"/>
    </row>
    <row r="64" spans="2:16">
      <c r="I64" s="608"/>
      <c r="J64" s="925"/>
      <c r="K64" s="611"/>
      <c r="L64" s="924"/>
    </row>
    <row r="65" spans="8:12">
      <c r="I65" s="608"/>
      <c r="J65" s="925"/>
      <c r="K65" s="611"/>
      <c r="L65" s="924"/>
    </row>
    <row r="66" spans="8:12">
      <c r="I66" s="608"/>
      <c r="J66" s="925"/>
      <c r="K66" s="611"/>
      <c r="L66" s="924"/>
    </row>
    <row r="67" spans="8:12">
      <c r="I67" s="608"/>
      <c r="J67" s="925"/>
      <c r="K67" s="611"/>
      <c r="L67" s="924"/>
    </row>
    <row r="68" spans="8:12">
      <c r="I68" s="608"/>
      <c r="J68" s="925"/>
      <c r="K68" s="611"/>
      <c r="L68" s="924"/>
    </row>
    <row r="70" spans="8:12">
      <c r="H70" s="612"/>
      <c r="K70" s="613"/>
    </row>
    <row r="71" spans="8:12">
      <c r="H71" s="612"/>
      <c r="K71" s="585"/>
    </row>
    <row r="72" spans="8:12">
      <c r="K72" s="614"/>
    </row>
    <row r="73" spans="8:12">
      <c r="H73" s="612"/>
    </row>
    <row r="78" spans="8:12">
      <c r="H78" s="615"/>
    </row>
  </sheetData>
  <mergeCells count="2">
    <mergeCell ref="I8:K8"/>
    <mergeCell ref="L10:L11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F2978F-05CA-4889-A6D2-77CF00D75189}">
  <sheetPr>
    <tabColor rgb="FFFFFF00"/>
    <pageSetUpPr fitToPage="1"/>
  </sheetPr>
  <dimension ref="A2:L35"/>
  <sheetViews>
    <sheetView workbookViewId="0">
      <selection activeCell="K10" sqref="K10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872" t="s">
        <v>0</v>
      </c>
      <c r="C3" s="41"/>
      <c r="E3" s="43"/>
      <c r="F3" s="44"/>
    </row>
    <row r="4" spans="1:12">
      <c r="B4" s="872" t="s">
        <v>874</v>
      </c>
      <c r="C4" s="41"/>
      <c r="E4" s="43"/>
      <c r="F4" s="44"/>
    </row>
    <row r="5" spans="1:12">
      <c r="B5" s="873" t="s">
        <v>1</v>
      </c>
      <c r="C5" s="41"/>
      <c r="E5" s="43"/>
      <c r="F5" s="44"/>
    </row>
    <row r="6" spans="1:12">
      <c r="B6" s="872" t="s">
        <v>2</v>
      </c>
      <c r="C6" s="41"/>
      <c r="E6" s="43"/>
      <c r="F6" s="44"/>
    </row>
    <row r="7" spans="1:12">
      <c r="B7" s="873" t="s">
        <v>3</v>
      </c>
      <c r="C7" s="41"/>
      <c r="E7" s="43"/>
      <c r="F7" s="44"/>
    </row>
    <row r="8" spans="1:12" ht="16.5" thickBot="1">
      <c r="F8" s="1136" t="s">
        <v>882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Klinik Blok A</v>
      </c>
      <c r="D13" s="58"/>
      <c r="E13" s="58"/>
      <c r="F13" s="58"/>
      <c r="G13" s="58"/>
      <c r="H13" s="59"/>
    </row>
    <row r="14" spans="1:12" s="875" customFormat="1">
      <c r="A14" s="39"/>
      <c r="B14" s="55" t="s">
        <v>11</v>
      </c>
      <c r="C14" s="56" t="s">
        <v>340</v>
      </c>
      <c r="D14" s="58"/>
      <c r="E14" s="58"/>
      <c r="F14" s="58"/>
      <c r="G14" s="58"/>
      <c r="H14" s="874">
        <f>BQKlinik!K16</f>
        <v>760000</v>
      </c>
      <c r="I14" s="39"/>
      <c r="J14" s="39"/>
      <c r="K14" s="39"/>
      <c r="L14" s="39"/>
    </row>
    <row r="15" spans="1:12" s="875" customFormat="1">
      <c r="A15" s="39"/>
      <c r="B15" s="55" t="s">
        <v>12</v>
      </c>
      <c r="C15" s="56" t="s">
        <v>191</v>
      </c>
      <c r="D15" s="58"/>
      <c r="E15" s="58"/>
      <c r="F15" s="58"/>
      <c r="G15" s="58"/>
      <c r="H15" s="874">
        <f>BQKlinik!K22</f>
        <v>30653840</v>
      </c>
      <c r="I15" s="39"/>
      <c r="J15" s="39"/>
      <c r="K15" s="39"/>
      <c r="L15" s="39"/>
    </row>
    <row r="16" spans="1:12" s="875" customFormat="1">
      <c r="A16" s="39"/>
      <c r="B16" s="55" t="s">
        <v>16</v>
      </c>
      <c r="C16" s="56" t="s">
        <v>355</v>
      </c>
      <c r="D16" s="58"/>
      <c r="E16" s="58"/>
      <c r="F16" s="58"/>
      <c r="G16" s="58"/>
      <c r="H16" s="874">
        <f>BQKlinik!K28</f>
        <v>27003807.949999996</v>
      </c>
      <c r="I16" s="39"/>
      <c r="J16" s="39"/>
      <c r="K16" s="39"/>
      <c r="L16" s="39"/>
    </row>
    <row r="17" spans="1:12" s="875" customFormat="1">
      <c r="A17" s="39"/>
      <c r="B17" s="55" t="s">
        <v>19</v>
      </c>
      <c r="C17" s="56" t="s">
        <v>360</v>
      </c>
      <c r="D17" s="58"/>
      <c r="E17" s="58"/>
      <c r="F17" s="58"/>
      <c r="G17" s="58"/>
      <c r="H17" s="874">
        <f>BQKlinik!K32</f>
        <v>26440924.399999999</v>
      </c>
      <c r="I17" s="39"/>
      <c r="J17" s="39"/>
      <c r="K17" s="39"/>
      <c r="L17" s="39"/>
    </row>
    <row r="18" spans="1:12" s="875" customFormat="1">
      <c r="A18" s="39"/>
      <c r="B18" s="55" t="s">
        <v>22</v>
      </c>
      <c r="C18" s="56" t="s">
        <v>363</v>
      </c>
      <c r="D18" s="58"/>
      <c r="E18" s="58"/>
      <c r="F18" s="58"/>
      <c r="G18" s="58"/>
      <c r="H18" s="874">
        <f>BQKlinik!K37</f>
        <v>35055531.028571427</v>
      </c>
      <c r="I18" s="39"/>
      <c r="J18" s="39"/>
      <c r="K18" s="39"/>
      <c r="L18" s="39"/>
    </row>
    <row r="19" spans="1:12" s="875" customFormat="1">
      <c r="A19" s="39"/>
      <c r="B19" s="55" t="s">
        <v>25</v>
      </c>
      <c r="C19" s="56" t="s">
        <v>288</v>
      </c>
      <c r="D19" s="58"/>
      <c r="E19" s="58"/>
      <c r="F19" s="58"/>
      <c r="G19" s="58"/>
      <c r="H19" s="874">
        <f>BQKlinik!K43</f>
        <v>156876499.99999997</v>
      </c>
      <c r="I19" s="39"/>
      <c r="J19" s="39"/>
      <c r="K19" s="39"/>
      <c r="L19" s="39"/>
    </row>
    <row r="20" spans="1:12" s="875" customFormat="1">
      <c r="A20" s="39"/>
      <c r="B20" s="55" t="s">
        <v>27</v>
      </c>
      <c r="C20" s="56" t="s">
        <v>499</v>
      </c>
      <c r="D20" s="58"/>
      <c r="E20" s="58"/>
      <c r="F20" s="58"/>
      <c r="G20" s="58"/>
      <c r="H20" s="874">
        <f>BQKlinik!K47</f>
        <v>14664000</v>
      </c>
      <c r="I20" s="39"/>
      <c r="J20" s="39"/>
      <c r="K20" s="39"/>
      <c r="L20" s="39"/>
    </row>
    <row r="21" spans="1:12" s="875" customFormat="1">
      <c r="A21" s="39"/>
      <c r="B21" s="55" t="s">
        <v>28</v>
      </c>
      <c r="C21" s="56" t="s">
        <v>373</v>
      </c>
      <c r="D21" s="58"/>
      <c r="E21" s="58"/>
      <c r="F21" s="58"/>
      <c r="G21" s="58"/>
      <c r="H21" s="874">
        <f>BQKlinik!K57</f>
        <v>12103560</v>
      </c>
      <c r="I21" s="39"/>
      <c r="J21" s="39"/>
      <c r="K21" s="39"/>
      <c r="L21" s="39"/>
    </row>
    <row r="22" spans="1:12" s="875" customFormat="1">
      <c r="A22" s="39"/>
      <c r="B22" s="55" t="s">
        <v>30</v>
      </c>
      <c r="C22" s="56" t="s">
        <v>807</v>
      </c>
      <c r="D22" s="58"/>
      <c r="E22" s="58"/>
      <c r="F22" s="58"/>
      <c r="G22" s="58"/>
      <c r="H22" s="874">
        <f>BQKlinik!K64</f>
        <v>27200000</v>
      </c>
      <c r="I22" s="39"/>
      <c r="J22" s="39"/>
      <c r="K22" s="39"/>
      <c r="L22" s="39"/>
    </row>
    <row r="23" spans="1:12" s="875" customFormat="1">
      <c r="A23" s="39"/>
      <c r="B23" s="55" t="s">
        <v>33</v>
      </c>
      <c r="C23" s="56" t="s">
        <v>385</v>
      </c>
      <c r="D23" s="58"/>
      <c r="E23" s="58"/>
      <c r="F23" s="58"/>
      <c r="G23" s="58"/>
      <c r="H23" s="874">
        <f>BQKlinik!K69</f>
        <v>24181512.800000001</v>
      </c>
      <c r="I23" s="39"/>
      <c r="J23" s="39"/>
      <c r="K23" s="39"/>
      <c r="L23" s="39"/>
    </row>
    <row r="24" spans="1:12" s="875" customFormat="1">
      <c r="A24" s="39"/>
      <c r="B24" s="55" t="s">
        <v>34</v>
      </c>
      <c r="C24" s="56" t="s">
        <v>390</v>
      </c>
      <c r="D24" s="58"/>
      <c r="E24" s="58"/>
      <c r="F24" s="58"/>
      <c r="G24" s="58"/>
      <c r="H24" s="874">
        <f>BQKlinik!K76</f>
        <v>0</v>
      </c>
      <c r="I24" s="39"/>
      <c r="J24" s="39"/>
      <c r="K24" s="39"/>
      <c r="L24" s="39"/>
    </row>
    <row r="25" spans="1:12" s="875" customFormat="1">
      <c r="A25" s="39"/>
      <c r="B25" s="55" t="s">
        <v>36</v>
      </c>
      <c r="C25" s="56" t="s">
        <v>827</v>
      </c>
      <c r="D25" s="58"/>
      <c r="E25" s="58"/>
      <c r="F25" s="58"/>
      <c r="G25" s="58"/>
      <c r="H25" s="874">
        <f>BQKlinik!K85</f>
        <v>0</v>
      </c>
      <c r="I25" s="39"/>
      <c r="J25" s="39"/>
      <c r="K25" s="39"/>
      <c r="L25" s="39"/>
    </row>
    <row r="26" spans="1:12" s="875" customFormat="1">
      <c r="A26" s="39"/>
      <c r="B26" s="55" t="s">
        <v>37</v>
      </c>
      <c r="C26" s="56" t="s">
        <v>824</v>
      </c>
      <c r="D26" s="58"/>
      <c r="E26" s="58"/>
      <c r="F26" s="58"/>
      <c r="G26" s="58"/>
      <c r="H26" s="874">
        <f>BQKlinik!K92</f>
        <v>6260000</v>
      </c>
      <c r="I26" s="39"/>
      <c r="J26" s="39"/>
      <c r="K26" s="39"/>
      <c r="L26" s="39"/>
    </row>
    <row r="27" spans="1:12" s="875" customFormat="1">
      <c r="A27" s="39"/>
      <c r="B27" s="55"/>
      <c r="C27" s="56"/>
      <c r="D27" s="58"/>
      <c r="E27" s="58"/>
      <c r="F27" s="58"/>
      <c r="G27" s="58"/>
      <c r="H27" s="874"/>
      <c r="I27" s="39"/>
      <c r="J27" s="39"/>
      <c r="K27" s="39"/>
      <c r="L27" s="39"/>
    </row>
    <row r="28" spans="1:12" ht="16.5" thickBot="1">
      <c r="B28" s="69"/>
      <c r="C28" s="70"/>
      <c r="D28" s="70"/>
      <c r="E28" s="70"/>
      <c r="F28" s="70"/>
      <c r="G28" s="70"/>
      <c r="H28" s="876"/>
    </row>
    <row r="29" spans="1:12" ht="17.25" thickTop="1" thickBot="1">
      <c r="B29" s="72"/>
      <c r="C29" s="73"/>
      <c r="D29" s="73"/>
      <c r="E29" s="73"/>
      <c r="F29" s="74" t="s">
        <v>41</v>
      </c>
      <c r="G29" s="74"/>
      <c r="H29" s="75">
        <f>SUM(H14:H28)</f>
        <v>361199676.1785714</v>
      </c>
    </row>
    <row r="30" spans="1:12" ht="16.5" thickTop="1">
      <c r="B30" s="76"/>
      <c r="C30" s="77"/>
      <c r="D30" s="77"/>
      <c r="E30" s="77"/>
      <c r="F30" s="77"/>
      <c r="G30" s="77"/>
      <c r="H30" s="78"/>
    </row>
    <row r="31" spans="1:12">
      <c r="B31" s="79"/>
      <c r="C31" s="56"/>
      <c r="D31" s="56"/>
      <c r="E31" s="58"/>
      <c r="F31" s="40"/>
      <c r="G31" s="43"/>
      <c r="H31" s="877"/>
    </row>
    <row r="32" spans="1:12">
      <c r="B32" s="81"/>
      <c r="C32" s="41"/>
      <c r="E32" s="44"/>
      <c r="H32" s="82"/>
    </row>
    <row r="33" spans="2:8">
      <c r="B33" s="81"/>
      <c r="C33" s="41"/>
      <c r="E33" s="44"/>
      <c r="H33" s="878"/>
    </row>
    <row r="34" spans="2:8" ht="16.5" thickBot="1">
      <c r="B34" s="84"/>
      <c r="C34" s="85"/>
      <c r="D34" s="85"/>
      <c r="E34" s="85"/>
      <c r="F34" s="85"/>
      <c r="G34" s="85"/>
      <c r="H34" s="86"/>
    </row>
    <row r="35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17559-1367-4803-A4F2-A162AEB34874}">
  <dimension ref="A1:V119"/>
  <sheetViews>
    <sheetView topLeftCell="A58" zoomScale="85" zoomScaleNormal="85" workbookViewId="0">
      <selection activeCell="J73" sqref="J73"/>
    </sheetView>
  </sheetViews>
  <sheetFormatPr defaultColWidth="9.140625" defaultRowHeight="15.75"/>
  <cols>
    <col min="1" max="1" width="9.140625" style="415"/>
    <col min="2" max="2" width="6.42578125" style="415" customWidth="1"/>
    <col min="3" max="7" width="10.7109375" style="415" customWidth="1"/>
    <col min="8" max="8" width="7.42578125" style="272" bestFit="1" customWidth="1"/>
    <col min="9" max="9" width="9.42578125" style="415" customWidth="1"/>
    <col min="10" max="10" width="12.85546875" style="416" customWidth="1"/>
    <col min="11" max="11" width="15.5703125" style="415" customWidth="1"/>
    <col min="12" max="12" width="9.28515625" style="415" customWidth="1"/>
    <col min="13" max="15" width="9.140625" style="415"/>
    <col min="16" max="16" width="14.140625" style="415" customWidth="1"/>
    <col min="17" max="17" width="11" style="415" bestFit="1" customWidth="1"/>
    <col min="18" max="20" width="9.140625" style="415"/>
    <col min="21" max="21" width="12.5703125" style="415" customWidth="1"/>
    <col min="22" max="16384" width="9.140625" style="415"/>
  </cols>
  <sheetData>
    <row r="1" spans="2:12">
      <c r="B1" s="414"/>
    </row>
    <row r="2" spans="2:12">
      <c r="B2" s="40"/>
      <c r="C2" s="558"/>
      <c r="D2" s="558"/>
      <c r="E2" s="558"/>
      <c r="F2" s="558"/>
      <c r="G2" s="558"/>
      <c r="H2" s="559"/>
      <c r="I2" s="614"/>
      <c r="J2" s="923"/>
      <c r="K2" s="558"/>
    </row>
    <row r="3" spans="2:12">
      <c r="B3" s="414" t="s">
        <v>0</v>
      </c>
      <c r="C3" s="2"/>
      <c r="D3" s="1"/>
      <c r="E3" s="5"/>
      <c r="F3" s="6"/>
      <c r="G3" s="1"/>
      <c r="H3" s="1"/>
      <c r="I3" s="949"/>
      <c r="J3" s="292"/>
      <c r="K3" s="292"/>
    </row>
    <row r="4" spans="2:12">
      <c r="B4" s="859" t="s">
        <v>880</v>
      </c>
      <c r="C4" s="2"/>
      <c r="D4" s="1"/>
      <c r="E4" s="5"/>
      <c r="F4" s="6"/>
      <c r="G4" s="1"/>
      <c r="H4" s="1"/>
      <c r="I4" s="949"/>
      <c r="J4" s="292"/>
      <c r="K4" s="292"/>
    </row>
    <row r="5" spans="2:12">
      <c r="B5" s="850" t="s">
        <v>1</v>
      </c>
      <c r="C5" s="2"/>
      <c r="D5" s="1"/>
      <c r="E5" s="5"/>
      <c r="F5" s="6"/>
      <c r="G5" s="1"/>
      <c r="H5" s="1"/>
      <c r="I5" s="949"/>
      <c r="J5" s="292"/>
      <c r="K5" s="292"/>
    </row>
    <row r="6" spans="2:12">
      <c r="B6" s="414" t="s">
        <v>2</v>
      </c>
      <c r="C6" s="2"/>
      <c r="D6" s="1"/>
      <c r="E6" s="5"/>
      <c r="F6" s="6"/>
      <c r="G6" s="1"/>
      <c r="H6" s="1"/>
      <c r="I6" s="949"/>
      <c r="J6" s="292"/>
      <c r="K6" s="292"/>
    </row>
    <row r="7" spans="2:12">
      <c r="B7" s="850" t="s">
        <v>3</v>
      </c>
      <c r="C7" s="2"/>
      <c r="D7" s="1"/>
      <c r="E7" s="5"/>
      <c r="F7" s="6"/>
      <c r="G7" s="1"/>
      <c r="H7" s="1"/>
      <c r="I7" s="949"/>
      <c r="J7" s="292"/>
      <c r="K7" s="292"/>
    </row>
    <row r="8" spans="2:12" ht="16.5" thickBot="1">
      <c r="B8" s="1"/>
      <c r="C8" s="1"/>
      <c r="D8" s="1"/>
      <c r="E8" s="1"/>
      <c r="F8" s="1"/>
      <c r="G8" s="1"/>
      <c r="H8" s="1"/>
      <c r="I8" s="1136" t="str">
        <f>'18SumkLINIK'!F8</f>
        <v>No. 018/RAB-Blok A-SSBP/I/2021</v>
      </c>
      <c r="J8" s="1136"/>
      <c r="K8" s="1136"/>
    </row>
    <row r="9" spans="2:12" ht="16.5" thickTop="1">
      <c r="B9" s="962"/>
      <c r="C9" s="961"/>
      <c r="D9" s="9"/>
      <c r="E9" s="9"/>
      <c r="F9" s="9"/>
      <c r="G9" s="960"/>
      <c r="H9" s="959"/>
      <c r="I9" s="948"/>
      <c r="J9" s="860" t="s">
        <v>4</v>
      </c>
      <c r="K9" s="879" t="s">
        <v>5</v>
      </c>
    </row>
    <row r="10" spans="2:12" ht="15.6" customHeight="1">
      <c r="B10" s="958" t="s">
        <v>6</v>
      </c>
      <c r="C10" s="957" t="s">
        <v>7</v>
      </c>
      <c r="D10" s="15"/>
      <c r="E10" s="15"/>
      <c r="F10" s="15"/>
      <c r="G10" s="956"/>
      <c r="H10" s="5" t="s">
        <v>8</v>
      </c>
      <c r="I10" s="947" t="s">
        <v>9</v>
      </c>
      <c r="J10" s="862" t="s">
        <v>8</v>
      </c>
      <c r="K10" s="880" t="s">
        <v>4</v>
      </c>
      <c r="L10" s="1141"/>
    </row>
    <row r="11" spans="2:12" ht="16.5" thickBot="1">
      <c r="B11" s="955"/>
      <c r="C11" s="954"/>
      <c r="D11" s="21"/>
      <c r="E11" s="21"/>
      <c r="F11" s="21"/>
      <c r="G11" s="953"/>
      <c r="H11" s="952"/>
      <c r="I11" s="946"/>
      <c r="J11" s="864" t="s">
        <v>10</v>
      </c>
      <c r="K11" s="881" t="s">
        <v>10</v>
      </c>
      <c r="L11" s="1142"/>
    </row>
    <row r="12" spans="2:12" ht="16.5" thickTop="1">
      <c r="B12" s="421"/>
      <c r="C12" s="951"/>
      <c r="D12" s="272"/>
      <c r="E12" s="272"/>
      <c r="F12" s="272"/>
      <c r="G12" s="884"/>
      <c r="I12" s="431"/>
      <c r="J12" s="432"/>
      <c r="K12" s="427"/>
      <c r="L12" s="866"/>
    </row>
    <row r="13" spans="2:12">
      <c r="B13" s="428" t="s">
        <v>339</v>
      </c>
      <c r="C13" s="429" t="s">
        <v>340</v>
      </c>
      <c r="D13" s="377"/>
      <c r="E13" s="377"/>
      <c r="F13" s="377"/>
      <c r="G13" s="435"/>
      <c r="I13" s="431"/>
      <c r="J13" s="432"/>
      <c r="K13" s="433"/>
      <c r="L13" s="867"/>
    </row>
    <row r="14" spans="2:12" ht="18">
      <c r="B14" s="421">
        <v>1</v>
      </c>
      <c r="C14" s="434" t="s">
        <v>343</v>
      </c>
      <c r="G14" s="435"/>
      <c r="H14" s="272" t="s">
        <v>344</v>
      </c>
      <c r="I14" s="436">
        <v>38</v>
      </c>
      <c r="J14" s="432">
        <v>20000</v>
      </c>
      <c r="K14" s="437">
        <f>I14*J14</f>
        <v>760000</v>
      </c>
      <c r="L14" s="842"/>
    </row>
    <row r="15" spans="2:12">
      <c r="B15" s="438"/>
      <c r="C15" s="434"/>
      <c r="G15" s="435"/>
      <c r="I15" s="436"/>
      <c r="J15" s="432"/>
      <c r="K15" s="437"/>
      <c r="L15" s="842"/>
    </row>
    <row r="16" spans="2:12">
      <c r="B16" s="421"/>
      <c r="C16" s="434"/>
      <c r="G16" s="883"/>
      <c r="I16" s="436"/>
      <c r="J16" s="439" t="s">
        <v>348</v>
      </c>
      <c r="K16" s="440">
        <f>SUM(K14:K14)</f>
        <v>760000</v>
      </c>
      <c r="L16" s="843"/>
    </row>
    <row r="17" spans="2:12">
      <c r="B17" s="428" t="s">
        <v>349</v>
      </c>
      <c r="C17" s="429" t="s">
        <v>191</v>
      </c>
      <c r="D17" s="377"/>
      <c r="E17" s="377"/>
      <c r="F17" s="377"/>
      <c r="G17" s="435"/>
      <c r="I17" s="436"/>
      <c r="J17" s="432"/>
      <c r="K17" s="437"/>
      <c r="L17" s="867"/>
    </row>
    <row r="18" spans="2:12" ht="18">
      <c r="B18" s="421">
        <v>1</v>
      </c>
      <c r="C18" s="434" t="s">
        <v>554</v>
      </c>
      <c r="G18" s="435"/>
      <c r="H18" s="272" t="s">
        <v>351</v>
      </c>
      <c r="I18" s="436">
        <f>'[83]ARS 120'!I5*0.8*0.7</f>
        <v>38.527999999999999</v>
      </c>
      <c r="J18" s="432">
        <v>150000</v>
      </c>
      <c r="K18" s="437">
        <f>I18*J18</f>
        <v>5779200</v>
      </c>
      <c r="L18" s="842"/>
    </row>
    <row r="19" spans="2:12" ht="18">
      <c r="B19" s="421">
        <f>B18+1</f>
        <v>2</v>
      </c>
      <c r="C19" s="434" t="s">
        <v>352</v>
      </c>
      <c r="G19" s="435"/>
      <c r="H19" s="272" t="s">
        <v>351</v>
      </c>
      <c r="I19" s="436">
        <f>'[83]ARS 120'!I5*0.7*0.05</f>
        <v>2.4079999999999999</v>
      </c>
      <c r="J19" s="432">
        <f>'[84] RAB'!F13</f>
        <v>310000</v>
      </c>
      <c r="K19" s="437">
        <f>I19*J19</f>
        <v>746480</v>
      </c>
      <c r="L19" s="842"/>
    </row>
    <row r="20" spans="2:12" ht="18">
      <c r="B20" s="421">
        <f>B19+1</f>
        <v>3</v>
      </c>
      <c r="C20" s="434" t="s">
        <v>211</v>
      </c>
      <c r="G20" s="435"/>
      <c r="H20" s="272" t="s">
        <v>351</v>
      </c>
      <c r="I20" s="436">
        <f>'[83]ARS 120'!E7</f>
        <v>24.08</v>
      </c>
      <c r="J20" s="432">
        <f>'[83] RAB'!G98</f>
        <v>1002000</v>
      </c>
      <c r="K20" s="437">
        <f>I20*J20</f>
        <v>24128160</v>
      </c>
      <c r="L20" s="842"/>
    </row>
    <row r="21" spans="2:12">
      <c r="B21" s="421"/>
      <c r="C21" s="434"/>
      <c r="G21" s="435"/>
      <c r="I21" s="436"/>
      <c r="J21" s="432"/>
      <c r="K21" s="437"/>
      <c r="L21" s="867"/>
    </row>
    <row r="22" spans="2:12">
      <c r="B22" s="421"/>
      <c r="C22" s="434"/>
      <c r="G22" s="883"/>
      <c r="I22" s="436"/>
      <c r="J22" s="439" t="s">
        <v>353</v>
      </c>
      <c r="K22" s="440">
        <f>SUM(K18:K21)</f>
        <v>30653840</v>
      </c>
      <c r="L22" s="843"/>
    </row>
    <row r="23" spans="2:12">
      <c r="B23" s="428" t="s">
        <v>354</v>
      </c>
      <c r="C23" s="429" t="s">
        <v>355</v>
      </c>
      <c r="D23" s="377"/>
      <c r="E23" s="377"/>
      <c r="F23" s="377"/>
      <c r="G23" s="435"/>
      <c r="I23" s="436"/>
      <c r="J23" s="432"/>
      <c r="K23" s="437"/>
      <c r="L23" s="867"/>
    </row>
    <row r="24" spans="2:12" ht="18">
      <c r="B24" s="421">
        <v>1</v>
      </c>
      <c r="C24" s="434" t="s">
        <v>784</v>
      </c>
      <c r="G24" s="435"/>
      <c r="H24" s="272" t="s">
        <v>351</v>
      </c>
      <c r="I24" s="436">
        <f>0.15*0.15*'[83]ARS 120'!I5</f>
        <v>1.5479999999999998</v>
      </c>
      <c r="J24" s="432">
        <f>'[85] ARS 118 '!O16</f>
        <v>5809144.444444444</v>
      </c>
      <c r="K24" s="437">
        <f>I24*J24</f>
        <v>8992555.5999999978</v>
      </c>
      <c r="L24" s="842"/>
    </row>
    <row r="25" spans="2:12" ht="18">
      <c r="B25" s="421">
        <v>2</v>
      </c>
      <c r="C25" s="434" t="s">
        <v>557</v>
      </c>
      <c r="G25" s="435"/>
      <c r="H25" s="272" t="s">
        <v>351</v>
      </c>
      <c r="I25" s="436">
        <f>(0.15*0.15*3)*23</f>
        <v>1.5525000000000002</v>
      </c>
      <c r="J25" s="432">
        <f>J24</f>
        <v>5809144.444444444</v>
      </c>
      <c r="K25" s="437">
        <f>I25*J25</f>
        <v>9018696.75</v>
      </c>
      <c r="L25" s="842"/>
    </row>
    <row r="26" spans="2:12">
      <c r="B26" s="421">
        <f>B25+1</f>
        <v>3</v>
      </c>
      <c r="C26" s="434" t="s">
        <v>558</v>
      </c>
      <c r="G26" s="435"/>
      <c r="H26" s="272" t="s">
        <v>254</v>
      </c>
      <c r="I26" s="436">
        <f>'[83]ARS 120'!I5*0.15*0.15</f>
        <v>1.5479999999999998</v>
      </c>
      <c r="J26" s="432">
        <f>J25</f>
        <v>5809144.444444444</v>
      </c>
      <c r="K26" s="437">
        <f>I26*J26</f>
        <v>8992555.5999999978</v>
      </c>
      <c r="L26" s="842"/>
    </row>
    <row r="27" spans="2:12">
      <c r="B27" s="438"/>
      <c r="C27" s="434"/>
      <c r="G27" s="435"/>
      <c r="I27" s="444"/>
      <c r="J27" s="432"/>
      <c r="K27" s="437"/>
      <c r="L27" s="842"/>
    </row>
    <row r="28" spans="2:12">
      <c r="B28" s="421"/>
      <c r="C28" s="434"/>
      <c r="G28" s="883"/>
      <c r="I28" s="444"/>
      <c r="J28" s="439" t="s">
        <v>358</v>
      </c>
      <c r="K28" s="440">
        <f>SUM(K24:K27)</f>
        <v>27003807.949999996</v>
      </c>
      <c r="L28" s="843"/>
    </row>
    <row r="29" spans="2:12">
      <c r="B29" s="428" t="s">
        <v>359</v>
      </c>
      <c r="C29" s="429" t="s">
        <v>360</v>
      </c>
      <c r="D29" s="377"/>
      <c r="E29" s="377"/>
      <c r="F29" s="377"/>
      <c r="G29" s="435"/>
      <c r="I29" s="444"/>
      <c r="J29" s="432"/>
      <c r="K29" s="437"/>
      <c r="L29" s="867"/>
    </row>
    <row r="30" spans="2:12" ht="18">
      <c r="B30" s="421">
        <v>1</v>
      </c>
      <c r="C30" s="434" t="s">
        <v>593</v>
      </c>
      <c r="G30" s="884"/>
      <c r="H30" s="272" t="s">
        <v>342</v>
      </c>
      <c r="I30" s="445">
        <f>'[83]ARS 120'!E21</f>
        <v>193.82</v>
      </c>
      <c r="J30" s="446">
        <f>'[84] RAB'!G112</f>
        <v>136420</v>
      </c>
      <c r="K30" s="437">
        <f>I30*J30</f>
        <v>26440924.399999999</v>
      </c>
      <c r="L30" s="842"/>
    </row>
    <row r="31" spans="2:12">
      <c r="B31" s="421"/>
      <c r="C31" s="434"/>
      <c r="G31" s="884"/>
      <c r="I31" s="445"/>
      <c r="J31" s="446"/>
      <c r="K31" s="437"/>
      <c r="L31" s="842"/>
    </row>
    <row r="32" spans="2:12">
      <c r="B32" s="421"/>
      <c r="C32" s="434"/>
      <c r="G32" s="884"/>
      <c r="I32" s="444"/>
      <c r="J32" s="439" t="s">
        <v>361</v>
      </c>
      <c r="K32" s="440">
        <f>SUM(K30:K30)</f>
        <v>26440924.399999999</v>
      </c>
      <c r="L32" s="843"/>
    </row>
    <row r="33" spans="2:16">
      <c r="B33" s="428" t="s">
        <v>362</v>
      </c>
      <c r="C33" s="429" t="s">
        <v>363</v>
      </c>
      <c r="D33" s="377"/>
      <c r="E33" s="377"/>
      <c r="F33" s="377"/>
      <c r="G33" s="435"/>
      <c r="I33" s="444"/>
      <c r="J33" s="432"/>
      <c r="K33" s="437"/>
      <c r="L33" s="867"/>
    </row>
    <row r="34" spans="2:16" ht="18">
      <c r="B34" s="421">
        <v>1</v>
      </c>
      <c r="C34" s="434" t="s">
        <v>364</v>
      </c>
      <c r="G34" s="435"/>
      <c r="H34" s="272" t="s">
        <v>342</v>
      </c>
      <c r="I34" s="447">
        <f>I30*2</f>
        <v>387.64</v>
      </c>
      <c r="J34" s="432">
        <f>'[84] RAB'!G134+'[84] RAB'!G139</f>
        <v>86318.571428571435</v>
      </c>
      <c r="K34" s="437">
        <f>I34*J34</f>
        <v>33460531.028571431</v>
      </c>
      <c r="L34" s="842"/>
    </row>
    <row r="35" spans="2:16" ht="18">
      <c r="B35" s="421">
        <f>B34+1</f>
        <v>2</v>
      </c>
      <c r="C35" s="434" t="s">
        <v>284</v>
      </c>
      <c r="G35" s="435"/>
      <c r="H35" s="272" t="s">
        <v>342</v>
      </c>
      <c r="I35" s="436">
        <v>11</v>
      </c>
      <c r="J35" s="432">
        <v>145000</v>
      </c>
      <c r="K35" s="437">
        <f>I35*J35</f>
        <v>1595000</v>
      </c>
      <c r="L35" s="842"/>
    </row>
    <row r="36" spans="2:16">
      <c r="B36" s="671"/>
      <c r="C36" s="434"/>
      <c r="G36" s="435"/>
      <c r="I36" s="444"/>
      <c r="J36" s="432"/>
      <c r="K36" s="437"/>
      <c r="L36" s="842"/>
    </row>
    <row r="37" spans="2:16">
      <c r="B37" s="421"/>
      <c r="C37" s="434"/>
      <c r="G37" s="884"/>
      <c r="I37" s="444"/>
      <c r="J37" s="439" t="s">
        <v>365</v>
      </c>
      <c r="K37" s="440">
        <f>SUM(K34:K35)</f>
        <v>35055531.028571427</v>
      </c>
      <c r="L37" s="843"/>
      <c r="P37" s="448"/>
    </row>
    <row r="38" spans="2:16">
      <c r="B38" s="449" t="s">
        <v>366</v>
      </c>
      <c r="C38" s="429" t="s">
        <v>288</v>
      </c>
      <c r="D38" s="377"/>
      <c r="E38" s="377"/>
      <c r="F38" s="377"/>
      <c r="G38" s="435"/>
      <c r="I38" s="444"/>
      <c r="J38" s="432"/>
      <c r="K38" s="437"/>
      <c r="L38" s="867"/>
    </row>
    <row r="39" spans="2:16" ht="18">
      <c r="B39" s="421">
        <v>1</v>
      </c>
      <c r="C39" s="434" t="s">
        <v>562</v>
      </c>
      <c r="G39" s="435"/>
      <c r="H39" s="272" t="s">
        <v>342</v>
      </c>
      <c r="I39" s="436">
        <f>74.2+65.5+26.2</f>
        <v>165.89999999999998</v>
      </c>
      <c r="J39" s="432">
        <v>175000</v>
      </c>
      <c r="K39" s="437">
        <f>I39*J39</f>
        <v>29032499.999999996</v>
      </c>
      <c r="L39" s="842"/>
    </row>
    <row r="40" spans="2:16" ht="18">
      <c r="B40" s="421">
        <f>B39+1</f>
        <v>2</v>
      </c>
      <c r="C40" s="434" t="s">
        <v>782</v>
      </c>
      <c r="G40" s="435"/>
      <c r="H40" s="272" t="s">
        <v>342</v>
      </c>
      <c r="I40" s="436">
        <f>I39</f>
        <v>165.89999999999998</v>
      </c>
      <c r="J40" s="432">
        <v>360000</v>
      </c>
      <c r="K40" s="437">
        <f>I40*J40</f>
        <v>59723999.999999993</v>
      </c>
      <c r="L40" s="842"/>
    </row>
    <row r="41" spans="2:16" ht="18">
      <c r="B41" s="421">
        <v>3</v>
      </c>
      <c r="C41" s="434" t="s">
        <v>879</v>
      </c>
      <c r="G41" s="435"/>
      <c r="H41" s="272" t="s">
        <v>342</v>
      </c>
      <c r="I41" s="436">
        <f>'[83]ARS 120'!E22</f>
        <v>26.199999999999996</v>
      </c>
      <c r="J41" s="432">
        <v>2600000</v>
      </c>
      <c r="K41" s="437">
        <f>I41*J41</f>
        <v>68119999.999999985</v>
      </c>
      <c r="L41" s="842"/>
    </row>
    <row r="42" spans="2:16">
      <c r="B42" s="421"/>
      <c r="C42" s="434"/>
      <c r="G42" s="435"/>
      <c r="I42" s="436"/>
      <c r="J42" s="432"/>
      <c r="K42" s="437"/>
      <c r="L42" s="842"/>
    </row>
    <row r="43" spans="2:16">
      <c r="B43" s="421"/>
      <c r="C43" s="434"/>
      <c r="G43" s="884"/>
      <c r="I43" s="444"/>
      <c r="J43" s="439" t="s">
        <v>368</v>
      </c>
      <c r="K43" s="440">
        <f>SUM(K39:K42)</f>
        <v>156876499.99999997</v>
      </c>
      <c r="L43" s="843"/>
    </row>
    <row r="44" spans="2:16">
      <c r="B44" s="428" t="s">
        <v>369</v>
      </c>
      <c r="C44" s="429" t="s">
        <v>370</v>
      </c>
      <c r="D44" s="377"/>
      <c r="E44" s="377"/>
      <c r="F44" s="377"/>
      <c r="G44" s="435"/>
      <c r="I44" s="444"/>
      <c r="J44" s="432"/>
      <c r="K44" s="437"/>
      <c r="L44" s="867"/>
    </row>
    <row r="45" spans="2:16" ht="18">
      <c r="B45" s="438">
        <v>1</v>
      </c>
      <c r="C45" s="434" t="s">
        <v>35</v>
      </c>
      <c r="G45" s="435"/>
      <c r="H45" s="272" t="s">
        <v>342</v>
      </c>
      <c r="I45" s="436">
        <v>120</v>
      </c>
      <c r="J45" s="432">
        <f>'[84] RAB'!G226</f>
        <v>122200</v>
      </c>
      <c r="K45" s="437">
        <f>I45*J45</f>
        <v>14664000</v>
      </c>
      <c r="L45" s="842"/>
    </row>
    <row r="46" spans="2:16">
      <c r="B46" s="438"/>
      <c r="C46" s="434"/>
      <c r="G46" s="435"/>
      <c r="I46" s="436"/>
      <c r="J46" s="432"/>
      <c r="K46" s="437"/>
      <c r="L46" s="842"/>
    </row>
    <row r="47" spans="2:16">
      <c r="B47" s="421"/>
      <c r="C47" s="434"/>
      <c r="G47" s="884"/>
      <c r="I47" s="444"/>
      <c r="J47" s="439" t="s">
        <v>371</v>
      </c>
      <c r="K47" s="440">
        <f>SUM(K45:K45)</f>
        <v>14664000</v>
      </c>
      <c r="L47" s="843"/>
    </row>
    <row r="48" spans="2:16">
      <c r="B48" s="449" t="s">
        <v>372</v>
      </c>
      <c r="C48" s="429" t="s">
        <v>373</v>
      </c>
      <c r="D48" s="377"/>
      <c r="E48" s="377"/>
      <c r="F48" s="377"/>
      <c r="G48" s="435"/>
      <c r="I48" s="444"/>
      <c r="J48" s="432"/>
      <c r="K48" s="437"/>
      <c r="L48" s="867"/>
    </row>
    <row r="49" spans="1:21" ht="18">
      <c r="B49" s="421">
        <v>1</v>
      </c>
      <c r="C49" s="434" t="s">
        <v>374</v>
      </c>
      <c r="G49" s="435"/>
      <c r="H49" s="272" t="s">
        <v>342</v>
      </c>
      <c r="I49" s="436">
        <v>72</v>
      </c>
      <c r="J49" s="432">
        <v>10000</v>
      </c>
      <c r="K49" s="437">
        <f>I49*J49</f>
        <v>720000</v>
      </c>
      <c r="L49" s="842"/>
    </row>
    <row r="50" spans="1:21" ht="18">
      <c r="B50" s="421">
        <v>2</v>
      </c>
      <c r="C50" s="434" t="s">
        <v>375</v>
      </c>
      <c r="G50" s="435"/>
      <c r="H50" s="272" t="s">
        <v>351</v>
      </c>
      <c r="I50" s="436">
        <f>I49*0.03</f>
        <v>2.16</v>
      </c>
      <c r="J50" s="432">
        <f>J19</f>
        <v>310000</v>
      </c>
      <c r="K50" s="437">
        <f>I50*J50</f>
        <v>669600</v>
      </c>
      <c r="L50" s="842"/>
    </row>
    <row r="51" spans="1:21" ht="18">
      <c r="B51" s="438">
        <v>3</v>
      </c>
      <c r="C51" s="450" t="s">
        <v>569</v>
      </c>
      <c r="D51" s="451"/>
      <c r="E51" s="451"/>
      <c r="F51" s="451"/>
      <c r="G51" s="435"/>
      <c r="H51" s="272" t="s">
        <v>351</v>
      </c>
      <c r="I51" s="436">
        <f>I49*0.03</f>
        <v>2.16</v>
      </c>
      <c r="J51" s="432">
        <f>'[85] RAB'!G243</f>
        <v>220000</v>
      </c>
      <c r="K51" s="437">
        <f>I51*J51</f>
        <v>475200.00000000006</v>
      </c>
      <c r="L51" s="842"/>
    </row>
    <row r="52" spans="1:21">
      <c r="B52" s="421"/>
      <c r="C52" s="434" t="s">
        <v>567</v>
      </c>
      <c r="G52" s="435"/>
      <c r="I52" s="444"/>
      <c r="J52" s="432"/>
      <c r="K52" s="437"/>
      <c r="L52" s="867"/>
    </row>
    <row r="53" spans="1:21" ht="18">
      <c r="B53" s="421">
        <f>B51+1</f>
        <v>4</v>
      </c>
      <c r="C53" s="434" t="s">
        <v>878</v>
      </c>
      <c r="G53" s="435"/>
      <c r="H53" s="272" t="s">
        <v>342</v>
      </c>
      <c r="I53" s="436">
        <v>4</v>
      </c>
      <c r="J53" s="432">
        <f>'[84] RAB'!H197</f>
        <v>141690</v>
      </c>
      <c r="K53" s="437">
        <f>I53*J53</f>
        <v>566760</v>
      </c>
      <c r="L53" s="842"/>
    </row>
    <row r="54" spans="1:21" ht="18">
      <c r="B54" s="421">
        <f>B53+1</f>
        <v>5</v>
      </c>
      <c r="C54" s="434" t="s">
        <v>830</v>
      </c>
      <c r="G54" s="435"/>
      <c r="H54" s="272" t="s">
        <v>342</v>
      </c>
      <c r="I54" s="436">
        <v>68</v>
      </c>
      <c r="J54" s="432">
        <f>'[84] RAB'!H203</f>
        <v>120900</v>
      </c>
      <c r="K54" s="437">
        <f>I54*J54</f>
        <v>8221200</v>
      </c>
      <c r="L54" s="842"/>
    </row>
    <row r="55" spans="1:21" ht="18">
      <c r="B55" s="421">
        <f>B54+1</f>
        <v>6</v>
      </c>
      <c r="C55" s="434" t="s">
        <v>815</v>
      </c>
      <c r="G55" s="435"/>
      <c r="H55" s="272" t="s">
        <v>342</v>
      </c>
      <c r="I55" s="436">
        <v>12</v>
      </c>
      <c r="J55" s="432">
        <f>'[84] RAB'!H191</f>
        <v>120900</v>
      </c>
      <c r="K55" s="437">
        <f>I55*J55</f>
        <v>1450800</v>
      </c>
      <c r="L55" s="842"/>
    </row>
    <row r="56" spans="1:21">
      <c r="A56" s="885"/>
      <c r="B56" s="421"/>
      <c r="C56" s="434"/>
      <c r="G56" s="435"/>
      <c r="I56" s="444"/>
      <c r="J56" s="432"/>
      <c r="K56" s="437"/>
      <c r="L56" s="842"/>
    </row>
    <row r="57" spans="1:21">
      <c r="B57" s="421"/>
      <c r="C57" s="434"/>
      <c r="G57" s="884"/>
      <c r="I57" s="444"/>
      <c r="J57" s="439" t="s">
        <v>377</v>
      </c>
      <c r="K57" s="440">
        <f>SUM(K49:K56)</f>
        <v>12103560</v>
      </c>
      <c r="L57" s="843"/>
    </row>
    <row r="58" spans="1:21">
      <c r="A58" s="451"/>
      <c r="B58" s="428" t="s">
        <v>378</v>
      </c>
      <c r="C58" s="429" t="s">
        <v>379</v>
      </c>
      <c r="D58" s="377"/>
      <c r="E58" s="377"/>
      <c r="F58" s="377"/>
      <c r="G58" s="435"/>
      <c r="I58" s="444"/>
      <c r="J58" s="432"/>
      <c r="K58" s="437"/>
      <c r="L58" s="867"/>
    </row>
    <row r="59" spans="1:21">
      <c r="B59" s="421">
        <v>1</v>
      </c>
      <c r="C59" s="434" t="s">
        <v>877</v>
      </c>
      <c r="G59" s="435"/>
      <c r="H59" s="272" t="s">
        <v>380</v>
      </c>
      <c r="I59" s="436">
        <v>2</v>
      </c>
      <c r="J59" s="432">
        <v>750000</v>
      </c>
      <c r="K59" s="437">
        <f>I59*J59</f>
        <v>1500000</v>
      </c>
      <c r="L59" s="842"/>
    </row>
    <row r="60" spans="1:21">
      <c r="B60" s="421">
        <f>B59+1</f>
        <v>2</v>
      </c>
      <c r="C60" s="434" t="s">
        <v>876</v>
      </c>
      <c r="G60" s="435"/>
      <c r="H60" s="272" t="s">
        <v>380</v>
      </c>
      <c r="I60" s="436">
        <v>2</v>
      </c>
      <c r="J60" s="432">
        <v>3500000</v>
      </c>
      <c r="K60" s="437">
        <f>I60*J60</f>
        <v>7000000</v>
      </c>
      <c r="L60" s="842"/>
    </row>
    <row r="61" spans="1:21">
      <c r="B61" s="421">
        <f>B60+1</f>
        <v>3</v>
      </c>
      <c r="C61" s="434" t="s">
        <v>381</v>
      </c>
      <c r="G61" s="435"/>
      <c r="H61" s="272" t="s">
        <v>32</v>
      </c>
      <c r="I61" s="436">
        <v>3</v>
      </c>
      <c r="J61" s="432">
        <v>3900000</v>
      </c>
      <c r="K61" s="437">
        <f>I61*J61</f>
        <v>11700000</v>
      </c>
      <c r="L61" s="842"/>
    </row>
    <row r="62" spans="1:21">
      <c r="A62" s="451"/>
      <c r="B62" s="421">
        <f>B61+1</f>
        <v>4</v>
      </c>
      <c r="C62" s="434" t="s">
        <v>875</v>
      </c>
      <c r="G62" s="435"/>
      <c r="H62" s="272" t="s">
        <v>32</v>
      </c>
      <c r="I62" s="436">
        <v>2</v>
      </c>
      <c r="J62" s="432">
        <v>3500000</v>
      </c>
      <c r="K62" s="437">
        <f>I62*J62</f>
        <v>7000000</v>
      </c>
      <c r="L62" s="842"/>
    </row>
    <row r="63" spans="1:21">
      <c r="B63" s="421"/>
      <c r="C63" s="434"/>
      <c r="G63" s="435"/>
      <c r="I63" s="444"/>
      <c r="J63" s="432"/>
      <c r="K63" s="437"/>
      <c r="L63" s="842"/>
    </row>
    <row r="64" spans="1:21">
      <c r="B64" s="421"/>
      <c r="C64" s="434"/>
      <c r="G64" s="884"/>
      <c r="I64" s="444"/>
      <c r="J64" s="439" t="s">
        <v>383</v>
      </c>
      <c r="K64" s="440">
        <f>SUM(K59:K62)</f>
        <v>27200000</v>
      </c>
      <c r="L64" s="843"/>
      <c r="N64" s="558"/>
      <c r="O64" s="558"/>
      <c r="P64" s="558"/>
      <c r="Q64" s="558"/>
      <c r="R64" s="558"/>
      <c r="S64" s="559"/>
      <c r="T64" s="614"/>
      <c r="U64" s="923"/>
    </row>
    <row r="65" spans="1:22">
      <c r="B65" s="428" t="s">
        <v>384</v>
      </c>
      <c r="C65" s="429" t="s">
        <v>385</v>
      </c>
      <c r="D65" s="377"/>
      <c r="E65" s="377"/>
      <c r="F65" s="377"/>
      <c r="G65" s="435"/>
      <c r="I65" s="444"/>
      <c r="J65" s="432"/>
      <c r="K65" s="437"/>
      <c r="L65" s="867"/>
      <c r="N65" s="558"/>
      <c r="O65" s="558"/>
      <c r="P65" s="558"/>
      <c r="Q65" s="558"/>
      <c r="R65" s="558"/>
      <c r="S65" s="559"/>
      <c r="T65" s="614"/>
      <c r="U65" s="923"/>
    </row>
    <row r="66" spans="1:22" ht="18">
      <c r="B66" s="421">
        <v>1</v>
      </c>
      <c r="C66" s="434" t="s">
        <v>386</v>
      </c>
      <c r="G66" s="435"/>
      <c r="H66" s="272" t="s">
        <v>342</v>
      </c>
      <c r="I66" s="436">
        <f>I34*2</f>
        <v>775.28</v>
      </c>
      <c r="J66" s="432">
        <f>'[84] RAB'!H378</f>
        <v>27010</v>
      </c>
      <c r="K66" s="437">
        <f>I66*J66</f>
        <v>20940312.800000001</v>
      </c>
      <c r="L66" s="842"/>
      <c r="N66" s="585"/>
      <c r="O66" s="558"/>
      <c r="P66" s="558"/>
      <c r="Q66" s="585"/>
      <c r="R66" s="558"/>
      <c r="S66" s="559"/>
      <c r="T66" s="614"/>
      <c r="U66" s="923"/>
    </row>
    <row r="67" spans="1:22" ht="18">
      <c r="B67" s="421">
        <v>2</v>
      </c>
      <c r="C67" s="434" t="s">
        <v>808</v>
      </c>
      <c r="G67" s="435"/>
      <c r="H67" s="272" t="s">
        <v>342</v>
      </c>
      <c r="I67" s="436">
        <f>I45</f>
        <v>120</v>
      </c>
      <c r="J67" s="432">
        <f>'[84] RAB'!H378</f>
        <v>27010</v>
      </c>
      <c r="K67" s="437">
        <f>I67*J67</f>
        <v>3241200</v>
      </c>
      <c r="L67" s="842"/>
      <c r="N67" s="558"/>
      <c r="O67" s="558"/>
      <c r="P67" s="558"/>
      <c r="Q67" s="558"/>
      <c r="R67" s="558"/>
      <c r="S67" s="559"/>
      <c r="T67" s="614"/>
      <c r="U67" s="923"/>
    </row>
    <row r="68" spans="1:22">
      <c r="B68" s="421"/>
      <c r="C68" s="434"/>
      <c r="G68" s="435"/>
      <c r="I68" s="444"/>
      <c r="J68" s="432"/>
      <c r="K68" s="437"/>
      <c r="L68" s="842"/>
    </row>
    <row r="69" spans="1:22">
      <c r="B69" s="421"/>
      <c r="C69" s="434"/>
      <c r="G69" s="884"/>
      <c r="I69" s="444"/>
      <c r="J69" s="439" t="s">
        <v>388</v>
      </c>
      <c r="K69" s="440">
        <f>SUM(K66:K68)</f>
        <v>24181512.800000001</v>
      </c>
      <c r="L69" s="843"/>
      <c r="M69" s="448"/>
      <c r="N69" s="448"/>
      <c r="Q69" s="448"/>
    </row>
    <row r="70" spans="1:22">
      <c r="A70" s="451"/>
      <c r="B70" s="428" t="s">
        <v>389</v>
      </c>
      <c r="C70" s="429" t="s">
        <v>390</v>
      </c>
      <c r="D70" s="377"/>
      <c r="E70" s="377"/>
      <c r="F70" s="377"/>
      <c r="G70" s="435"/>
      <c r="I70" s="444"/>
      <c r="J70" s="432"/>
      <c r="K70" s="437"/>
      <c r="L70" s="867"/>
    </row>
    <row r="71" spans="1:22">
      <c r="B71" s="421"/>
      <c r="C71" s="434" t="s">
        <v>1003</v>
      </c>
      <c r="D71" s="558"/>
      <c r="E71" s="558"/>
      <c r="F71" s="558"/>
      <c r="G71" s="575"/>
      <c r="H71" s="559"/>
      <c r="I71" s="940"/>
      <c r="J71" s="939"/>
      <c r="K71" s="437"/>
      <c r="L71" s="842"/>
    </row>
    <row r="72" spans="1:22">
      <c r="B72" s="421"/>
      <c r="C72" s="574"/>
      <c r="D72" s="558"/>
      <c r="E72" s="558"/>
      <c r="F72" s="558"/>
      <c r="G72" s="575"/>
      <c r="H72" s="559"/>
      <c r="I72" s="940"/>
      <c r="J72" s="939"/>
      <c r="K72" s="437"/>
      <c r="L72" s="842"/>
    </row>
    <row r="73" spans="1:22">
      <c r="B73" s="421"/>
      <c r="C73" s="941"/>
      <c r="D73" s="558"/>
      <c r="E73" s="558"/>
      <c r="F73" s="585"/>
      <c r="G73" s="575"/>
      <c r="H73" s="559"/>
      <c r="I73" s="940"/>
      <c r="J73" s="939"/>
      <c r="K73" s="437"/>
      <c r="L73" s="842"/>
    </row>
    <row r="74" spans="1:22">
      <c r="B74" s="421"/>
      <c r="C74" s="574"/>
      <c r="D74" s="558"/>
      <c r="E74" s="558"/>
      <c r="F74" s="558"/>
      <c r="G74" s="575"/>
      <c r="H74" s="559"/>
      <c r="I74" s="940"/>
      <c r="J74" s="939"/>
      <c r="K74" s="437"/>
      <c r="L74" s="842"/>
      <c r="N74" s="558"/>
      <c r="O74" s="558"/>
      <c r="P74" s="558"/>
      <c r="Q74" s="558"/>
      <c r="R74" s="558"/>
      <c r="S74" s="558"/>
      <c r="T74" s="614"/>
      <c r="U74" s="923"/>
      <c r="V74" s="950"/>
    </row>
    <row r="75" spans="1:22">
      <c r="B75" s="421"/>
      <c r="C75" s="574"/>
      <c r="D75" s="558"/>
      <c r="E75" s="558"/>
      <c r="F75" s="558"/>
      <c r="G75" s="575"/>
      <c r="H75" s="559"/>
      <c r="I75" s="940"/>
      <c r="J75" s="939"/>
      <c r="K75" s="437"/>
      <c r="L75" s="842"/>
      <c r="N75" s="558"/>
      <c r="O75" s="558"/>
      <c r="P75" s="558"/>
      <c r="Q75" s="558"/>
      <c r="R75" s="558"/>
      <c r="S75" s="558"/>
      <c r="T75" s="614"/>
      <c r="U75" s="923"/>
      <c r="V75" s="950"/>
    </row>
    <row r="76" spans="1:22">
      <c r="B76" s="421"/>
      <c r="C76" s="434"/>
      <c r="G76" s="884"/>
      <c r="I76" s="444"/>
      <c r="J76" s="439" t="s">
        <v>394</v>
      </c>
      <c r="K76" s="440">
        <f>SUM(K71:K74)</f>
        <v>0</v>
      </c>
      <c r="L76" s="843"/>
      <c r="N76" s="558"/>
      <c r="O76" s="558"/>
      <c r="P76" s="558"/>
      <c r="Q76" s="558"/>
      <c r="R76" s="558"/>
      <c r="S76" s="558"/>
      <c r="T76" s="614"/>
      <c r="U76" s="923"/>
      <c r="V76" s="950"/>
    </row>
    <row r="77" spans="1:22">
      <c r="B77" s="428" t="s">
        <v>395</v>
      </c>
      <c r="C77" s="429" t="s">
        <v>396</v>
      </c>
      <c r="D77" s="377"/>
      <c r="E77" s="377"/>
      <c r="F77" s="377"/>
      <c r="G77" s="435"/>
      <c r="I77" s="444"/>
      <c r="J77" s="432"/>
      <c r="K77" s="437"/>
      <c r="L77" s="867"/>
      <c r="N77" s="558"/>
      <c r="O77" s="558"/>
      <c r="P77" s="558"/>
      <c r="Q77" s="558"/>
      <c r="R77" s="558"/>
      <c r="S77" s="558"/>
      <c r="T77" s="614"/>
      <c r="U77" s="923"/>
      <c r="V77" s="950"/>
    </row>
    <row r="78" spans="1:22">
      <c r="B78" s="421"/>
      <c r="C78" s="434" t="s">
        <v>987</v>
      </c>
      <c r="G78" s="435"/>
      <c r="I78" s="436"/>
      <c r="J78" s="432"/>
      <c r="K78" s="437"/>
      <c r="L78" s="842"/>
      <c r="N78" s="558"/>
      <c r="O78" s="558"/>
      <c r="P78" s="558"/>
      <c r="Q78" s="558"/>
      <c r="R78" s="558"/>
      <c r="S78" s="558"/>
      <c r="T78" s="614"/>
      <c r="U78" s="923"/>
      <c r="V78" s="950"/>
    </row>
    <row r="79" spans="1:22">
      <c r="B79" s="421"/>
      <c r="C79" s="574"/>
      <c r="G79" s="435"/>
      <c r="I79" s="436"/>
      <c r="J79" s="432"/>
      <c r="K79" s="437"/>
      <c r="L79" s="842"/>
      <c r="N79" s="558"/>
      <c r="O79" s="558"/>
      <c r="P79" s="558"/>
      <c r="Q79" s="558"/>
      <c r="R79" s="558"/>
      <c r="S79" s="558"/>
      <c r="T79" s="614"/>
      <c r="U79" s="923"/>
      <c r="V79" s="950"/>
    </row>
    <row r="80" spans="1:22">
      <c r="B80" s="421"/>
      <c r="C80" s="574"/>
      <c r="G80" s="435"/>
      <c r="I80" s="436"/>
      <c r="J80" s="432"/>
      <c r="K80" s="437"/>
      <c r="L80" s="842"/>
      <c r="N80" s="558"/>
      <c r="O80" s="558"/>
      <c r="P80" s="558"/>
      <c r="Q80" s="558"/>
      <c r="R80" s="558"/>
      <c r="S80" s="558"/>
      <c r="T80" s="614"/>
      <c r="U80" s="923"/>
      <c r="V80" s="950"/>
    </row>
    <row r="81" spans="2:12">
      <c r="B81" s="421"/>
      <c r="C81" s="574"/>
      <c r="G81" s="435"/>
      <c r="I81" s="436"/>
      <c r="J81" s="432"/>
      <c r="K81" s="437"/>
      <c r="L81" s="842"/>
    </row>
    <row r="82" spans="2:12">
      <c r="B82" s="421"/>
      <c r="C82" s="574"/>
      <c r="G82" s="435"/>
      <c r="I82" s="453"/>
      <c r="J82" s="432"/>
      <c r="K82" s="437"/>
      <c r="L82" s="867"/>
    </row>
    <row r="83" spans="2:12">
      <c r="B83" s="421"/>
      <c r="C83" s="574"/>
      <c r="G83" s="435"/>
      <c r="I83" s="453"/>
      <c r="J83" s="432"/>
      <c r="K83" s="437"/>
      <c r="L83" s="867"/>
    </row>
    <row r="84" spans="2:12">
      <c r="B84" s="421"/>
      <c r="C84" s="434"/>
      <c r="G84" s="435"/>
      <c r="I84" s="444"/>
      <c r="J84" s="432"/>
      <c r="K84" s="437"/>
      <c r="L84" s="867"/>
    </row>
    <row r="85" spans="2:12">
      <c r="B85" s="421"/>
      <c r="C85" s="434" t="s">
        <v>652</v>
      </c>
      <c r="G85" s="884"/>
      <c r="I85" s="829"/>
      <c r="J85" s="439" t="s">
        <v>500</v>
      </c>
      <c r="K85" s="440">
        <f>SUM(K78:K83)</f>
        <v>0</v>
      </c>
      <c r="L85" s="843"/>
    </row>
    <row r="86" spans="2:12">
      <c r="B86" s="428" t="s">
        <v>404</v>
      </c>
      <c r="C86" s="429" t="s">
        <v>650</v>
      </c>
      <c r="D86" s="377"/>
      <c r="E86" s="377"/>
      <c r="F86" s="377"/>
      <c r="G86" s="435"/>
      <c r="I86" s="444"/>
      <c r="J86" s="432"/>
      <c r="K86" s="437"/>
      <c r="L86" s="867"/>
    </row>
    <row r="87" spans="2:12">
      <c r="B87" s="421">
        <v>1</v>
      </c>
      <c r="C87" s="434" t="s">
        <v>406</v>
      </c>
      <c r="G87" s="435"/>
      <c r="H87" s="272" t="s">
        <v>380</v>
      </c>
      <c r="I87" s="436">
        <v>2</v>
      </c>
      <c r="J87" s="432">
        <v>1800000</v>
      </c>
      <c r="K87" s="437">
        <f>I87*J87</f>
        <v>3600000</v>
      </c>
      <c r="L87" s="842"/>
    </row>
    <row r="88" spans="2:12">
      <c r="B88" s="421">
        <v>2</v>
      </c>
      <c r="C88" s="434" t="s">
        <v>407</v>
      </c>
      <c r="G88" s="435"/>
      <c r="H88" s="272" t="s">
        <v>380</v>
      </c>
      <c r="I88" s="436">
        <v>2</v>
      </c>
      <c r="J88" s="432">
        <v>1100000</v>
      </c>
      <c r="K88" s="437">
        <f>I88*J88</f>
        <v>2200000</v>
      </c>
      <c r="L88" s="842"/>
    </row>
    <row r="89" spans="2:12">
      <c r="B89" s="421">
        <v>3</v>
      </c>
      <c r="C89" s="434" t="s">
        <v>408</v>
      </c>
      <c r="G89" s="435"/>
      <c r="H89" s="272" t="s">
        <v>380</v>
      </c>
      <c r="I89" s="436">
        <v>2</v>
      </c>
      <c r="J89" s="432">
        <v>80000</v>
      </c>
      <c r="K89" s="437">
        <f>I89*J89</f>
        <v>160000</v>
      </c>
      <c r="L89" s="842"/>
    </row>
    <row r="90" spans="2:12">
      <c r="B90" s="421">
        <v>4</v>
      </c>
      <c r="C90" s="434" t="s">
        <v>409</v>
      </c>
      <c r="G90" s="435"/>
      <c r="H90" s="272" t="s">
        <v>380</v>
      </c>
      <c r="I90" s="436">
        <v>2</v>
      </c>
      <c r="J90" s="432">
        <v>150000</v>
      </c>
      <c r="K90" s="437">
        <f>I90*J90</f>
        <v>300000</v>
      </c>
      <c r="L90" s="842"/>
    </row>
    <row r="91" spans="2:12">
      <c r="B91" s="421"/>
      <c r="C91" s="434"/>
      <c r="G91" s="435"/>
      <c r="I91" s="436"/>
      <c r="J91" s="432"/>
      <c r="K91" s="437"/>
      <c r="L91" s="842"/>
    </row>
    <row r="92" spans="2:12">
      <c r="B92" s="421"/>
      <c r="C92" s="434"/>
      <c r="G92" s="884"/>
      <c r="I92" s="436"/>
      <c r="J92" s="439" t="s">
        <v>501</v>
      </c>
      <c r="K92" s="440">
        <f>SUM(K87:K90)</f>
        <v>6260000</v>
      </c>
      <c r="L92" s="843"/>
    </row>
    <row r="93" spans="2:12" ht="16.5" thickBot="1">
      <c r="B93" s="459"/>
      <c r="C93" s="460"/>
      <c r="D93" s="461"/>
      <c r="E93" s="461"/>
      <c r="F93" s="461"/>
      <c r="G93" s="886"/>
      <c r="H93" s="463"/>
      <c r="I93" s="464"/>
      <c r="J93" s="465"/>
      <c r="K93" s="466"/>
      <c r="L93" s="843"/>
    </row>
    <row r="94" spans="2:12">
      <c r="B94" s="421"/>
      <c r="C94" s="964"/>
      <c r="D94" s="964"/>
      <c r="E94" s="964"/>
      <c r="F94" s="964"/>
      <c r="G94" s="965"/>
      <c r="H94" s="966"/>
      <c r="I94" s="967"/>
      <c r="J94" s="825"/>
      <c r="K94" s="440"/>
      <c r="L94" s="843"/>
    </row>
    <row r="95" spans="2:12">
      <c r="B95" s="421"/>
      <c r="C95" s="814"/>
      <c r="D95" s="814"/>
      <c r="E95" s="814"/>
      <c r="F95" s="814"/>
      <c r="G95" s="815"/>
      <c r="H95" s="815"/>
      <c r="I95" s="968"/>
      <c r="J95" s="832" t="s">
        <v>410</v>
      </c>
      <c r="K95" s="467">
        <f>SUM(K14:K92)/2</f>
        <v>361199676.17857134</v>
      </c>
      <c r="L95" s="848"/>
    </row>
    <row r="96" spans="2:12" ht="16.5" thickBot="1">
      <c r="B96" s="468"/>
      <c r="C96" s="470"/>
      <c r="D96" s="470"/>
      <c r="E96" s="470"/>
      <c r="F96" s="470"/>
      <c r="G96" s="470"/>
      <c r="H96" s="472"/>
      <c r="I96" s="969"/>
      <c r="J96" s="963"/>
      <c r="K96" s="475"/>
      <c r="L96" s="867"/>
    </row>
    <row r="97" spans="8:12" ht="16.5" thickTop="1">
      <c r="I97" s="476"/>
      <c r="J97" s="477"/>
      <c r="K97" s="479"/>
      <c r="L97" s="867"/>
    </row>
    <row r="98" spans="8:12">
      <c r="I98" s="476"/>
      <c r="J98" s="477"/>
      <c r="K98" s="478"/>
      <c r="L98" s="867"/>
    </row>
    <row r="99" spans="8:12">
      <c r="I99" s="476"/>
      <c r="J99" s="477"/>
      <c r="K99" s="479"/>
      <c r="L99" s="867"/>
    </row>
    <row r="100" spans="8:12">
      <c r="I100" s="476"/>
      <c r="J100" s="477"/>
      <c r="K100" s="478"/>
      <c r="L100" s="867"/>
    </row>
    <row r="101" spans="8:12">
      <c r="I101" s="476"/>
      <c r="J101" s="477"/>
      <c r="K101" s="479"/>
      <c r="L101" s="867"/>
    </row>
    <row r="102" spans="8:12">
      <c r="I102" s="476"/>
      <c r="J102" s="477"/>
      <c r="K102" s="479"/>
      <c r="L102" s="867"/>
    </row>
    <row r="103" spans="8:12">
      <c r="I103" s="476"/>
      <c r="J103" s="477"/>
      <c r="K103" s="479"/>
      <c r="L103" s="867"/>
    </row>
    <row r="104" spans="8:12">
      <c r="I104" s="476"/>
      <c r="J104" s="477"/>
      <c r="K104" s="479"/>
      <c r="L104" s="867"/>
    </row>
    <row r="105" spans="8:12">
      <c r="I105" s="476"/>
      <c r="J105" s="477"/>
      <c r="K105" s="479"/>
      <c r="L105" s="867"/>
    </row>
    <row r="106" spans="8:12">
      <c r="I106" s="476"/>
      <c r="J106" s="477"/>
      <c r="K106" s="479"/>
      <c r="L106" s="867"/>
    </row>
    <row r="107" spans="8:12">
      <c r="I107" s="476"/>
      <c r="J107" s="477"/>
      <c r="K107" s="479"/>
      <c r="L107" s="867"/>
    </row>
    <row r="108" spans="8:12">
      <c r="I108" s="476"/>
      <c r="J108" s="477"/>
      <c r="K108" s="479"/>
      <c r="L108" s="867"/>
    </row>
    <row r="109" spans="8:12">
      <c r="I109" s="476"/>
      <c r="J109" s="477"/>
      <c r="K109" s="479"/>
      <c r="L109" s="867"/>
    </row>
    <row r="111" spans="8:12">
      <c r="H111" s="417"/>
      <c r="K111" s="480"/>
    </row>
    <row r="112" spans="8:12">
      <c r="H112" s="417"/>
      <c r="K112" s="448"/>
    </row>
    <row r="113" spans="8:11">
      <c r="K113" s="481"/>
    </row>
    <row r="114" spans="8:11">
      <c r="H114" s="417"/>
    </row>
    <row r="119" spans="8:11">
      <c r="H119" s="482"/>
    </row>
  </sheetData>
  <mergeCells count="2">
    <mergeCell ref="I8:K8"/>
    <mergeCell ref="L10:L11"/>
  </mergeCells>
  <pageMargins left="0.7" right="0.7" top="0.75" bottom="0.75" header="0.3" footer="0.3"/>
  <pageSetup orientation="portrait" horizontalDpi="0" verticalDpi="0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5B1EE4-E6D6-4593-9709-27F566294C87}">
  <sheetPr>
    <tabColor rgb="FFFFFF00"/>
    <pageSetUpPr fitToPage="1"/>
  </sheetPr>
  <dimension ref="A2:L34"/>
  <sheetViews>
    <sheetView workbookViewId="0">
      <selection activeCell="F8" sqref="F8:H8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859" t="s">
        <v>942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944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Damkar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">
        <v>340</v>
      </c>
      <c r="D14" s="58"/>
      <c r="E14" s="58"/>
      <c r="F14" s="58"/>
      <c r="G14" s="58"/>
      <c r="H14" s="483">
        <f>BQDamkar!K15</f>
        <v>800000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">
        <v>191</v>
      </c>
      <c r="D15" s="58"/>
      <c r="E15" s="58"/>
      <c r="F15" s="58"/>
      <c r="G15" s="58"/>
      <c r="H15" s="483">
        <f>BQDamkar!K23</f>
        <v>65056052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">
        <v>355</v>
      </c>
      <c r="D16" s="58"/>
      <c r="E16" s="58"/>
      <c r="F16" s="58"/>
      <c r="G16" s="58"/>
      <c r="H16" s="483">
        <f>BQDamkar!K30</f>
        <v>22469875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">
        <v>360</v>
      </c>
      <c r="D17" s="58"/>
      <c r="E17" s="58"/>
      <c r="F17" s="58"/>
      <c r="G17" s="58"/>
      <c r="H17" s="483">
        <f>BQDamkar!K35</f>
        <v>19253668.600000001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">
        <v>363</v>
      </c>
      <c r="D18" s="58"/>
      <c r="E18" s="58"/>
      <c r="F18" s="58"/>
      <c r="G18" s="58"/>
      <c r="H18" s="483">
        <f>BQDamkar!K40</f>
        <v>24320000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">
        <v>288</v>
      </c>
      <c r="D19" s="58"/>
      <c r="E19" s="58"/>
      <c r="F19" s="58"/>
      <c r="G19" s="58"/>
      <c r="H19" s="483">
        <f>BQDamkar!K47</f>
        <v>49172970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">
        <v>370</v>
      </c>
      <c r="D20" s="58"/>
      <c r="E20" s="58"/>
      <c r="F20" s="58"/>
      <c r="G20" s="58"/>
      <c r="H20" s="483">
        <f>BQDamkar!K51</f>
        <v>10598400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">
        <v>373</v>
      </c>
      <c r="D21" s="58"/>
      <c r="E21" s="58"/>
      <c r="F21" s="58"/>
      <c r="G21" s="58"/>
      <c r="H21" s="483">
        <f>BQDamkar!K59</f>
        <v>39789600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">
        <v>379</v>
      </c>
      <c r="D22" s="58"/>
      <c r="E22" s="58"/>
      <c r="F22" s="58"/>
      <c r="G22" s="58"/>
      <c r="H22" s="483">
        <f>BQDamkar!K68</f>
        <v>48750000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">
        <v>385</v>
      </c>
      <c r="D23" s="58"/>
      <c r="E23" s="58"/>
      <c r="F23" s="58"/>
      <c r="G23" s="58"/>
      <c r="H23" s="483">
        <f>BQDamkar!K73</f>
        <v>15200000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">
        <v>390</v>
      </c>
      <c r="D24" s="58"/>
      <c r="E24" s="58"/>
      <c r="F24" s="58"/>
      <c r="G24" s="58"/>
      <c r="H24" s="483">
        <f>BQDamkar!K79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">
        <v>396</v>
      </c>
      <c r="D25" s="58"/>
      <c r="E25" s="58"/>
      <c r="F25" s="58"/>
      <c r="G25" s="58"/>
      <c r="H25" s="483">
        <f>BQDamkar!K88</f>
        <v>0</v>
      </c>
      <c r="I25" s="39"/>
      <c r="J25" s="39"/>
      <c r="K25" s="39"/>
      <c r="L25" s="39"/>
    </row>
    <row r="26" spans="1:12" s="60" customFormat="1">
      <c r="A26" s="39"/>
      <c r="B26" s="55" t="s">
        <v>37</v>
      </c>
      <c r="C26" s="56" t="s">
        <v>405</v>
      </c>
      <c r="D26" s="58"/>
      <c r="E26" s="58"/>
      <c r="F26" s="58"/>
      <c r="G26" s="58"/>
      <c r="H26" s="483">
        <f>BQDamkar!K96</f>
        <v>17900000</v>
      </c>
      <c r="I26" s="39"/>
      <c r="J26" s="39"/>
      <c r="K26" s="39"/>
      <c r="L26" s="39"/>
    </row>
    <row r="27" spans="1:12" ht="16.5" thickBot="1">
      <c r="B27" s="69"/>
      <c r="C27" s="70"/>
      <c r="D27" s="70"/>
      <c r="E27" s="70"/>
      <c r="F27" s="70"/>
      <c r="G27" s="70"/>
      <c r="H27" s="484"/>
    </row>
    <row r="28" spans="1:12" ht="17.25" thickTop="1" thickBot="1">
      <c r="B28" s="72"/>
      <c r="C28" s="73"/>
      <c r="D28" s="73"/>
      <c r="E28" s="73"/>
      <c r="F28" s="74" t="s">
        <v>41</v>
      </c>
      <c r="G28" s="74"/>
      <c r="H28" s="75">
        <f>SUM(H14:H27)</f>
        <v>313310565.60000002</v>
      </c>
    </row>
    <row r="29" spans="1:12" ht="16.5" thickTop="1">
      <c r="B29" s="76"/>
      <c r="C29" s="77"/>
      <c r="D29" s="77"/>
      <c r="E29" s="77"/>
      <c r="F29" s="77"/>
      <c r="G29" s="77"/>
      <c r="H29" s="78"/>
    </row>
    <row r="30" spans="1:12">
      <c r="B30" s="79"/>
      <c r="C30" s="56"/>
      <c r="D30" s="56"/>
      <c r="E30" s="58"/>
      <c r="F30" s="40"/>
      <c r="G30" s="43"/>
      <c r="H30" s="715"/>
    </row>
    <row r="31" spans="1:12">
      <c r="B31" s="81"/>
      <c r="C31" s="41"/>
      <c r="E31" s="44"/>
      <c r="H31" s="82"/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929606-C494-4614-98B4-12D02272036D}">
  <dimension ref="A1:P148"/>
  <sheetViews>
    <sheetView topLeftCell="A58" workbookViewId="0">
      <selection activeCell="B70" sqref="B70"/>
    </sheetView>
  </sheetViews>
  <sheetFormatPr defaultColWidth="9.140625" defaultRowHeight="15.75"/>
  <cols>
    <col min="1" max="1" width="6.42578125" style="415" customWidth="1"/>
    <col min="2" max="2" width="15" style="415" customWidth="1"/>
    <col min="3" max="4" width="11.5703125" style="415" customWidth="1"/>
    <col min="5" max="5" width="11.140625" style="415" customWidth="1"/>
    <col min="6" max="6" width="11" style="415" customWidth="1"/>
    <col min="7" max="7" width="7.85546875" style="272" customWidth="1"/>
    <col min="8" max="8" width="10.42578125" style="415" bestFit="1" customWidth="1"/>
    <col min="9" max="9" width="14.42578125" style="416" customWidth="1"/>
    <col min="10" max="10" width="15.5703125" style="415" customWidth="1"/>
    <col min="11" max="13" width="9.140625" style="415"/>
    <col min="14" max="14" width="14.140625" style="415" customWidth="1"/>
    <col min="15" max="15" width="11.28515625" style="415" bestFit="1" customWidth="1"/>
    <col min="16" max="16" width="17.28515625" style="415" customWidth="1"/>
    <col min="17" max="16384" width="9.140625" style="415"/>
  </cols>
  <sheetData>
    <row r="1" spans="1:10">
      <c r="A1" s="414"/>
    </row>
    <row r="2" spans="1:10">
      <c r="A2" s="4" t="s">
        <v>0</v>
      </c>
      <c r="B2" s="414"/>
      <c r="C2" s="414"/>
      <c r="D2" s="414"/>
      <c r="E2" s="414"/>
      <c r="F2" s="414"/>
      <c r="G2" s="417"/>
      <c r="H2" s="417"/>
      <c r="I2" s="418"/>
      <c r="J2" s="419"/>
    </row>
    <row r="3" spans="1:10">
      <c r="A3" s="420" t="s">
        <v>608</v>
      </c>
      <c r="B3" s="414"/>
      <c r="C3" s="414"/>
      <c r="D3" s="414"/>
      <c r="E3" s="414"/>
      <c r="F3" s="414"/>
      <c r="G3" s="417"/>
      <c r="H3" s="417"/>
      <c r="I3" s="418"/>
      <c r="J3" s="419"/>
    </row>
    <row r="4" spans="1:10">
      <c r="A4" s="7" t="s">
        <v>1</v>
      </c>
      <c r="B4" s="414"/>
      <c r="C4" s="414"/>
      <c r="D4" s="414"/>
      <c r="E4" s="414"/>
      <c r="F4" s="414"/>
      <c r="I4" s="418"/>
      <c r="J4" s="419"/>
    </row>
    <row r="5" spans="1:10">
      <c r="A5" s="4" t="s">
        <v>2</v>
      </c>
      <c r="B5" s="414"/>
      <c r="C5" s="414"/>
      <c r="D5" s="414"/>
      <c r="E5" s="414"/>
      <c r="F5" s="414"/>
      <c r="G5" s="417"/>
      <c r="H5" s="417"/>
      <c r="I5" s="418"/>
      <c r="J5" s="419"/>
    </row>
    <row r="6" spans="1:10">
      <c r="A6" s="7" t="s">
        <v>3</v>
      </c>
      <c r="B6" s="414"/>
      <c r="C6" s="414"/>
      <c r="D6" s="414"/>
      <c r="E6" s="414"/>
      <c r="F6" s="414"/>
      <c r="G6" s="417"/>
      <c r="H6" s="417"/>
      <c r="I6" s="418"/>
      <c r="J6" s="419"/>
    </row>
    <row r="7" spans="1:10" ht="16.5" thickBot="1">
      <c r="A7" s="1"/>
      <c r="B7" s="1"/>
      <c r="C7" s="1"/>
      <c r="D7" s="1"/>
      <c r="E7" s="1"/>
      <c r="F7" s="1"/>
      <c r="G7" s="1"/>
      <c r="H7" s="1136" t="s">
        <v>609</v>
      </c>
      <c r="I7" s="1136"/>
      <c r="J7" s="1136"/>
    </row>
    <row r="8" spans="1:10" ht="16.5" thickTop="1">
      <c r="A8" s="8"/>
      <c r="B8" s="9"/>
      <c r="C8" s="9"/>
      <c r="D8" s="9"/>
      <c r="E8" s="9"/>
      <c r="F8" s="9"/>
      <c r="G8" s="10"/>
      <c r="H8" s="11"/>
      <c r="I8" s="12" t="s">
        <v>4</v>
      </c>
      <c r="J8" s="13" t="s">
        <v>5</v>
      </c>
    </row>
    <row r="9" spans="1:10" ht="15.6" customHeight="1">
      <c r="A9" s="14" t="s">
        <v>6</v>
      </c>
      <c r="B9" s="15" t="s">
        <v>7</v>
      </c>
      <c r="C9" s="15"/>
      <c r="D9" s="15"/>
      <c r="E9" s="15"/>
      <c r="F9" s="15"/>
      <c r="G9" s="16" t="s">
        <v>8</v>
      </c>
      <c r="H9" s="17" t="s">
        <v>9</v>
      </c>
      <c r="I9" s="18" t="s">
        <v>8</v>
      </c>
      <c r="J9" s="19" t="s">
        <v>4</v>
      </c>
    </row>
    <row r="10" spans="1:10" ht="16.5" thickBot="1">
      <c r="A10" s="20"/>
      <c r="B10" s="21"/>
      <c r="C10" s="21"/>
      <c r="D10" s="21"/>
      <c r="E10" s="21"/>
      <c r="F10" s="21"/>
      <c r="G10" s="22"/>
      <c r="H10" s="23"/>
      <c r="I10" s="24" t="s">
        <v>10</v>
      </c>
      <c r="J10" s="25" t="s">
        <v>10</v>
      </c>
    </row>
    <row r="11" spans="1:10" ht="16.5" thickTop="1">
      <c r="A11" s="421"/>
      <c r="B11" s="422"/>
      <c r="C11" s="423"/>
      <c r="D11" s="423"/>
      <c r="E11" s="423"/>
      <c r="F11" s="424"/>
      <c r="H11" s="425"/>
      <c r="I11" s="426"/>
      <c r="J11" s="427"/>
    </row>
    <row r="12" spans="1:10">
      <c r="A12" s="428" t="s">
        <v>339</v>
      </c>
      <c r="B12" s="429" t="s">
        <v>340</v>
      </c>
      <c r="C12" s="377"/>
      <c r="D12" s="377"/>
      <c r="E12" s="377"/>
      <c r="F12" s="430"/>
      <c r="H12" s="431"/>
      <c r="I12" s="432"/>
      <c r="J12" s="433"/>
    </row>
    <row r="13" spans="1:10">
      <c r="A13" s="421">
        <v>1</v>
      </c>
      <c r="B13" s="434" t="str">
        <f>[80]Sheet1!$B$3</f>
        <v xml:space="preserve">Pembersihan awal dan Selama Proyek Berjalan </v>
      </c>
      <c r="F13" s="435"/>
      <c r="G13" s="272" t="s">
        <v>357</v>
      </c>
      <c r="H13" s="436">
        <v>1</v>
      </c>
      <c r="I13" s="432">
        <f>[80]Sheet1!$D$3</f>
        <v>1000000</v>
      </c>
      <c r="J13" s="437">
        <f>H13*I13</f>
        <v>1000000</v>
      </c>
    </row>
    <row r="14" spans="1:10">
      <c r="A14" s="421">
        <f>A13+1</f>
        <v>2</v>
      </c>
      <c r="B14" s="434" t="str">
        <f>[80]Sheet1!$B$4</f>
        <v>Pembersihan akhir sampah dll</v>
      </c>
      <c r="F14" s="435"/>
      <c r="G14" s="272" t="s">
        <v>357</v>
      </c>
      <c r="H14" s="436">
        <v>1</v>
      </c>
      <c r="I14" s="432">
        <f>[80]Sheet1!$D$4</f>
        <v>1000000</v>
      </c>
      <c r="J14" s="437">
        <f>H14*I14</f>
        <v>1000000</v>
      </c>
    </row>
    <row r="15" spans="1:10">
      <c r="A15" s="871">
        <f>A14+1</f>
        <v>3</v>
      </c>
      <c r="B15" s="1113" t="str">
        <f>[80]Sheet1!$B$5</f>
        <v>Survey</v>
      </c>
      <c r="F15" s="435"/>
      <c r="G15" s="272" t="s">
        <v>357</v>
      </c>
      <c r="H15" s="436">
        <v>1</v>
      </c>
      <c r="I15" s="432">
        <f>[80]Sheet1!$D$5</f>
        <v>2000000</v>
      </c>
      <c r="J15" s="437">
        <f>H15*I15</f>
        <v>2000000</v>
      </c>
    </row>
    <row r="16" spans="1:10">
      <c r="A16" s="871">
        <f>A15+1</f>
        <v>4</v>
      </c>
      <c r="B16" s="1113" t="str">
        <f>[80]Sheet1!$B$6</f>
        <v>Pembuatan gambar teknis</v>
      </c>
      <c r="F16" s="435"/>
      <c r="G16" s="272" t="s">
        <v>357</v>
      </c>
      <c r="H16" s="436">
        <v>1</v>
      </c>
      <c r="I16" s="432">
        <f>[80]Sheet1!$D$6</f>
        <v>1000000</v>
      </c>
      <c r="J16" s="437">
        <f>H16*I16</f>
        <v>1000000</v>
      </c>
    </row>
    <row r="17" spans="1:10">
      <c r="A17" s="421">
        <f>A16+1</f>
        <v>5</v>
      </c>
      <c r="B17" s="434"/>
      <c r="F17" s="435"/>
      <c r="H17" s="436">
        <v>0</v>
      </c>
      <c r="I17" s="432">
        <v>0</v>
      </c>
      <c r="J17" s="437">
        <f>H17*I17</f>
        <v>0</v>
      </c>
    </row>
    <row r="18" spans="1:10">
      <c r="A18" s="438"/>
      <c r="B18" s="434"/>
      <c r="F18" s="435"/>
      <c r="H18" s="436"/>
      <c r="I18" s="432"/>
      <c r="J18" s="437"/>
    </row>
    <row r="19" spans="1:10">
      <c r="A19" s="421"/>
      <c r="B19" s="434"/>
      <c r="F19" s="435"/>
      <c r="H19" s="436"/>
      <c r="I19" s="439" t="s">
        <v>348</v>
      </c>
      <c r="J19" s="440">
        <f>SUM(J13:J17)</f>
        <v>5000000</v>
      </c>
    </row>
    <row r="20" spans="1:10">
      <c r="A20" s="428" t="s">
        <v>349</v>
      </c>
      <c r="B20" s="429" t="s">
        <v>1005</v>
      </c>
      <c r="C20" s="377"/>
      <c r="D20" s="377"/>
      <c r="E20" s="377"/>
      <c r="F20" s="430"/>
      <c r="H20" s="436"/>
      <c r="I20" s="432"/>
      <c r="J20" s="437"/>
    </row>
    <row r="21" spans="1:10">
      <c r="A21" s="421">
        <v>1</v>
      </c>
      <c r="B21" s="1114" t="str">
        <f>[80]Sheet1!$B$8</f>
        <v> Kabel UTP</v>
      </c>
      <c r="F21" s="435"/>
      <c r="G21" s="272" t="s">
        <v>1006</v>
      </c>
      <c r="H21" s="436">
        <v>3</v>
      </c>
      <c r="I21" s="432">
        <f>[80]Sheet1!$D$8</f>
        <v>2000000</v>
      </c>
      <c r="J21" s="437">
        <f t="shared" ref="J21:J27" si="0">H21*I21</f>
        <v>6000000</v>
      </c>
    </row>
    <row r="22" spans="1:10">
      <c r="A22" s="421">
        <f t="shared" ref="A22:A27" si="1">A21+1</f>
        <v>2</v>
      </c>
      <c r="B22" s="1114" t="str">
        <f>[80]Sheet1!$B$9</f>
        <v>Konektor RJ-45</v>
      </c>
      <c r="F22" s="435"/>
      <c r="G22" s="272" t="s">
        <v>1013</v>
      </c>
      <c r="H22" s="436">
        <v>10</v>
      </c>
      <c r="I22" s="432">
        <f>[80]Sheet1!$D$9</f>
        <v>1500000</v>
      </c>
      <c r="J22" s="437">
        <f t="shared" si="0"/>
        <v>15000000</v>
      </c>
    </row>
    <row r="23" spans="1:10">
      <c r="A23" s="421">
        <f t="shared" si="1"/>
        <v>3</v>
      </c>
      <c r="B23" s="1114" t="str">
        <f>[80]Sheet1!$B$10</f>
        <v>Kartu Jaringan (LAN Card)</v>
      </c>
      <c r="F23" s="435"/>
      <c r="G23" s="272" t="s">
        <v>392</v>
      </c>
      <c r="H23" s="436">
        <v>0</v>
      </c>
      <c r="I23" s="432">
        <f>[80]Sheet1!$D$10</f>
        <v>1500000</v>
      </c>
      <c r="J23" s="437">
        <f t="shared" si="0"/>
        <v>0</v>
      </c>
    </row>
    <row r="24" spans="1:10">
      <c r="A24" s="421">
        <f t="shared" si="1"/>
        <v>4</v>
      </c>
      <c r="B24" s="1114" t="str">
        <f>[80]Sheet1!$B$11</f>
        <v>Switch / Hub Managable</v>
      </c>
      <c r="F24" s="435"/>
      <c r="G24" s="272" t="s">
        <v>392</v>
      </c>
      <c r="H24" s="436">
        <v>5</v>
      </c>
      <c r="I24" s="432">
        <f>[80]Sheet1!$D$11</f>
        <v>10000000</v>
      </c>
      <c r="J24" s="437">
        <f t="shared" si="0"/>
        <v>50000000</v>
      </c>
    </row>
    <row r="25" spans="1:10">
      <c r="A25" s="421">
        <f t="shared" si="1"/>
        <v>5</v>
      </c>
      <c r="B25" s="1114" t="str">
        <f>[80]Sheet1!$B$12</f>
        <v>Alat dukung</v>
      </c>
      <c r="F25" s="435"/>
      <c r="G25" s="272" t="s">
        <v>392</v>
      </c>
      <c r="H25" s="436">
        <v>4</v>
      </c>
      <c r="I25" s="432">
        <f>[80]Sheet1!$D$12</f>
        <v>500000</v>
      </c>
      <c r="J25" s="437">
        <f t="shared" si="0"/>
        <v>2000000</v>
      </c>
    </row>
    <row r="26" spans="1:10">
      <c r="A26" s="421">
        <f t="shared" si="1"/>
        <v>6</v>
      </c>
      <c r="B26" s="434"/>
      <c r="F26" s="435"/>
      <c r="H26" s="436">
        <v>0</v>
      </c>
      <c r="I26" s="432">
        <v>0</v>
      </c>
      <c r="J26" s="437">
        <f t="shared" si="0"/>
        <v>0</v>
      </c>
    </row>
    <row r="27" spans="1:10" ht="15.75" customHeight="1">
      <c r="A27" s="421">
        <f t="shared" si="1"/>
        <v>7</v>
      </c>
      <c r="B27" s="434"/>
      <c r="F27" s="435"/>
      <c r="H27" s="436">
        <v>0</v>
      </c>
      <c r="I27" s="432">
        <v>0</v>
      </c>
      <c r="J27" s="437">
        <f t="shared" si="0"/>
        <v>0</v>
      </c>
    </row>
    <row r="28" spans="1:10">
      <c r="A28" s="421"/>
      <c r="B28" s="434"/>
      <c r="F28" s="435"/>
      <c r="H28" s="436"/>
      <c r="I28" s="432"/>
      <c r="J28" s="437"/>
    </row>
    <row r="29" spans="1:10">
      <c r="A29" s="421"/>
      <c r="B29" s="434"/>
      <c r="F29" s="435"/>
      <c r="H29" s="436"/>
      <c r="I29" s="439" t="s">
        <v>353</v>
      </c>
      <c r="J29" s="440">
        <f>SUM(J21:J28)</f>
        <v>73000000</v>
      </c>
    </row>
    <row r="30" spans="1:10">
      <c r="A30" s="428" t="s">
        <v>354</v>
      </c>
      <c r="B30" s="429" t="s">
        <v>1007</v>
      </c>
      <c r="C30" s="377"/>
      <c r="D30" s="377"/>
      <c r="E30" s="377"/>
      <c r="F30" s="430"/>
      <c r="H30" s="436"/>
      <c r="I30" s="432"/>
      <c r="J30" s="437"/>
    </row>
    <row r="31" spans="1:10">
      <c r="A31" s="421">
        <v>1</v>
      </c>
      <c r="B31" s="1114" t="str">
        <f>[80]Sheet1!$B$14</f>
        <v>Cctv indoor</v>
      </c>
      <c r="F31" s="435"/>
      <c r="G31" s="272" t="s">
        <v>392</v>
      </c>
      <c r="H31" s="436">
        <v>2</v>
      </c>
      <c r="I31" s="432">
        <f>[80]Sheet1!$D$14</f>
        <v>3500000</v>
      </c>
      <c r="J31" s="437">
        <f t="shared" ref="J31:J43" si="2">H31*I31</f>
        <v>7000000</v>
      </c>
    </row>
    <row r="32" spans="1:10">
      <c r="A32" s="421">
        <f>A31+1</f>
        <v>2</v>
      </c>
      <c r="B32" s="1114" t="str">
        <f>[80]Sheet1!$B$15</f>
        <v>Cctv outdoor</v>
      </c>
      <c r="F32" s="435"/>
      <c r="G32" s="272" t="s">
        <v>392</v>
      </c>
      <c r="H32" s="436">
        <v>0</v>
      </c>
      <c r="I32" s="432">
        <f>[80]Sheet1!$D$15</f>
        <v>3500000</v>
      </c>
      <c r="J32" s="437">
        <f t="shared" si="2"/>
        <v>0</v>
      </c>
    </row>
    <row r="33" spans="1:10">
      <c r="A33" s="421">
        <f>A32+1</f>
        <v>3</v>
      </c>
      <c r="B33" s="1114" t="str">
        <f>[80]Sheet1!$B$16</f>
        <v>DVR</v>
      </c>
      <c r="F33" s="435"/>
      <c r="G33" s="272" t="s">
        <v>392</v>
      </c>
      <c r="H33" s="436">
        <v>2</v>
      </c>
      <c r="I33" s="432">
        <f>[80]Sheet1!$D$16</f>
        <v>5000000</v>
      </c>
      <c r="J33" s="437">
        <f t="shared" si="2"/>
        <v>10000000</v>
      </c>
    </row>
    <row r="34" spans="1:10">
      <c r="A34" s="421">
        <f t="shared" ref="A34:A43" si="3">A33+1</f>
        <v>4</v>
      </c>
      <c r="B34" s="1114" t="str">
        <f>[80]Sheet1!$B$17</f>
        <v>Adapter dan Power Supply.</v>
      </c>
      <c r="F34" s="435"/>
      <c r="G34" s="272" t="s">
        <v>392</v>
      </c>
      <c r="H34" s="436">
        <v>4</v>
      </c>
      <c r="I34" s="432">
        <f>[80]Sheet1!$D$17</f>
        <v>900000</v>
      </c>
      <c r="J34" s="437">
        <f t="shared" si="2"/>
        <v>3600000</v>
      </c>
    </row>
    <row r="35" spans="1:10">
      <c r="A35" s="421">
        <f t="shared" si="3"/>
        <v>5</v>
      </c>
      <c r="B35" s="1114" t="str">
        <f>[80]Sheet1!$B$18</f>
        <v>Kabel Power.</v>
      </c>
      <c r="F35" s="435"/>
      <c r="G35" s="272" t="s">
        <v>1006</v>
      </c>
      <c r="H35" s="436">
        <v>2</v>
      </c>
      <c r="I35" s="432">
        <f>[80]Sheet1!$D$18</f>
        <v>1000000</v>
      </c>
      <c r="J35" s="437">
        <f t="shared" si="2"/>
        <v>2000000</v>
      </c>
    </row>
    <row r="36" spans="1:10">
      <c r="A36" s="421">
        <f t="shared" si="3"/>
        <v>6</v>
      </c>
      <c r="B36" s="1114" t="str">
        <f>[80]Sheet1!$B$19</f>
        <v>Crimp Kabel.</v>
      </c>
      <c r="F36" s="435"/>
      <c r="G36" s="272" t="s">
        <v>392</v>
      </c>
      <c r="H36" s="436">
        <v>1</v>
      </c>
      <c r="I36" s="432">
        <f>[80]Sheet1!$D$19</f>
        <v>2000000</v>
      </c>
      <c r="J36" s="437">
        <f t="shared" si="2"/>
        <v>2000000</v>
      </c>
    </row>
    <row r="37" spans="1:10">
      <c r="A37" s="421">
        <f t="shared" si="3"/>
        <v>7</v>
      </c>
      <c r="B37" s="1114" t="str">
        <f>[80]Sheet1!$B$20</f>
        <v>Kabel Coaxial.</v>
      </c>
      <c r="F37" s="435"/>
      <c r="G37" s="272" t="s">
        <v>1006</v>
      </c>
      <c r="H37" s="436">
        <v>2</v>
      </c>
      <c r="I37" s="432">
        <f>[80]Sheet1!$D$20</f>
        <v>3500000</v>
      </c>
      <c r="J37" s="437">
        <f t="shared" si="2"/>
        <v>7000000</v>
      </c>
    </row>
    <row r="38" spans="1:10">
      <c r="A38" s="421">
        <f t="shared" si="3"/>
        <v>8</v>
      </c>
      <c r="B38" s="1114" t="str">
        <f>[80]Sheet1!$B$21</f>
        <v>Konektor RF.</v>
      </c>
      <c r="F38" s="435"/>
      <c r="G38" s="272" t="s">
        <v>1013</v>
      </c>
      <c r="H38" s="436">
        <v>1</v>
      </c>
      <c r="I38" s="432">
        <f>[80]Sheet1!$D$21</f>
        <v>1000000</v>
      </c>
      <c r="J38" s="437">
        <f t="shared" si="2"/>
        <v>1000000</v>
      </c>
    </row>
    <row r="39" spans="1:10">
      <c r="A39" s="421">
        <f t="shared" si="3"/>
        <v>9</v>
      </c>
      <c r="B39" s="434"/>
      <c r="F39" s="435"/>
      <c r="H39" s="436">
        <v>0</v>
      </c>
      <c r="I39" s="432">
        <v>0</v>
      </c>
      <c r="J39" s="437">
        <f t="shared" si="2"/>
        <v>0</v>
      </c>
    </row>
    <row r="40" spans="1:10">
      <c r="A40" s="421">
        <f t="shared" si="3"/>
        <v>10</v>
      </c>
      <c r="B40" s="434"/>
      <c r="F40" s="435"/>
      <c r="H40" s="436">
        <v>0</v>
      </c>
      <c r="I40" s="432">
        <v>0</v>
      </c>
      <c r="J40" s="437">
        <f t="shared" si="2"/>
        <v>0</v>
      </c>
    </row>
    <row r="41" spans="1:10">
      <c r="A41" s="421">
        <f t="shared" si="3"/>
        <v>11</v>
      </c>
      <c r="B41" s="434"/>
      <c r="F41" s="435"/>
      <c r="H41" s="436">
        <v>0</v>
      </c>
      <c r="I41" s="432">
        <v>0</v>
      </c>
      <c r="J41" s="437">
        <f t="shared" si="2"/>
        <v>0</v>
      </c>
    </row>
    <row r="42" spans="1:10">
      <c r="A42" s="421">
        <f t="shared" si="3"/>
        <v>12</v>
      </c>
      <c r="B42" s="441"/>
      <c r="C42" s="442"/>
      <c r="D42" s="442"/>
      <c r="E42" s="442"/>
      <c r="F42" s="443"/>
      <c r="H42" s="436">
        <v>0</v>
      </c>
      <c r="I42" s="432">
        <v>0</v>
      </c>
      <c r="J42" s="437">
        <f t="shared" si="2"/>
        <v>0</v>
      </c>
    </row>
    <row r="43" spans="1:10">
      <c r="A43" s="421">
        <f t="shared" si="3"/>
        <v>13</v>
      </c>
      <c r="B43" s="434"/>
      <c r="F43" s="435"/>
      <c r="H43" s="436">
        <v>0</v>
      </c>
      <c r="I43" s="432">
        <v>0</v>
      </c>
      <c r="J43" s="437">
        <f t="shared" si="2"/>
        <v>0</v>
      </c>
    </row>
    <row r="44" spans="1:10">
      <c r="A44" s="421"/>
      <c r="B44" s="434"/>
      <c r="F44" s="435"/>
      <c r="H44" s="444"/>
      <c r="I44" s="439" t="s">
        <v>358</v>
      </c>
      <c r="J44" s="440">
        <f>SUM(J31:J43)</f>
        <v>32600000</v>
      </c>
    </row>
    <row r="45" spans="1:10">
      <c r="A45" s="428" t="s">
        <v>359</v>
      </c>
      <c r="B45" s="429" t="s">
        <v>1009</v>
      </c>
      <c r="C45" s="377"/>
      <c r="D45" s="377"/>
      <c r="E45" s="377"/>
      <c r="F45" s="430"/>
      <c r="H45" s="444"/>
      <c r="I45" s="432"/>
      <c r="J45" s="437"/>
    </row>
    <row r="46" spans="1:10">
      <c r="A46" s="421">
        <v>1</v>
      </c>
      <c r="B46" s="1114" t="str">
        <f>[80]Sheet1!$B$37</f>
        <v>Rumah Kabel</v>
      </c>
      <c r="F46" s="435"/>
      <c r="G46" s="272" t="s">
        <v>1014</v>
      </c>
      <c r="H46" s="445">
        <v>10</v>
      </c>
      <c r="I46" s="446">
        <f>[80]Sheet1!$D$37</f>
        <v>1500000</v>
      </c>
      <c r="J46" s="437">
        <f>H46*I46</f>
        <v>15000000</v>
      </c>
    </row>
    <row r="47" spans="1:10">
      <c r="A47" s="421">
        <f>A46+1</f>
        <v>2</v>
      </c>
      <c r="B47" s="1114" t="str">
        <f>[80]Sheet1!$B$38</f>
        <v>paku-paku &amp; Klem</v>
      </c>
      <c r="F47" s="435"/>
      <c r="G47" s="272" t="s">
        <v>1015</v>
      </c>
      <c r="H47" s="445">
        <v>5</v>
      </c>
      <c r="I47" s="446">
        <f>[80]Sheet1!$D$38</f>
        <v>2000000</v>
      </c>
      <c r="J47" s="437">
        <f>H47*I47</f>
        <v>10000000</v>
      </c>
    </row>
    <row r="48" spans="1:10">
      <c r="A48" s="421"/>
      <c r="B48" s="434"/>
      <c r="F48" s="435"/>
      <c r="H48" s="444"/>
      <c r="I48" s="439" t="s">
        <v>361</v>
      </c>
      <c r="J48" s="440">
        <f>SUM(J46:J47)</f>
        <v>25000000</v>
      </c>
    </row>
    <row r="49" spans="1:14">
      <c r="A49" s="428" t="s">
        <v>362</v>
      </c>
      <c r="B49" s="429" t="s">
        <v>62</v>
      </c>
      <c r="C49" s="377"/>
      <c r="D49" s="377"/>
      <c r="E49" s="377"/>
      <c r="F49" s="430"/>
      <c r="H49" s="444"/>
      <c r="I49" s="432"/>
      <c r="J49" s="437"/>
    </row>
    <row r="50" spans="1:14">
      <c r="A50" s="421">
        <v>1</v>
      </c>
      <c r="B50" s="434"/>
      <c r="F50" s="435"/>
      <c r="H50" s="436">
        <v>0</v>
      </c>
      <c r="I50" s="432">
        <v>0</v>
      </c>
      <c r="J50" s="437">
        <f>H50*I50</f>
        <v>0</v>
      </c>
    </row>
    <row r="51" spans="1:14">
      <c r="A51" s="421">
        <f>A50+1</f>
        <v>2</v>
      </c>
      <c r="B51" s="434"/>
      <c r="F51" s="435"/>
      <c r="H51" s="436">
        <v>0</v>
      </c>
      <c r="I51" s="432">
        <v>0</v>
      </c>
      <c r="J51" s="437">
        <f>H51*I51</f>
        <v>0</v>
      </c>
    </row>
    <row r="52" spans="1:14">
      <c r="A52" s="421"/>
      <c r="B52" s="434"/>
      <c r="F52" s="435"/>
      <c r="H52" s="444"/>
      <c r="I52" s="439" t="s">
        <v>365</v>
      </c>
      <c r="J52" s="440">
        <f>SUM(J50:J51)</f>
        <v>0</v>
      </c>
      <c r="N52" s="448"/>
    </row>
    <row r="53" spans="1:14">
      <c r="A53" s="449" t="s">
        <v>366</v>
      </c>
      <c r="B53" s="429" t="s">
        <v>1008</v>
      </c>
      <c r="C53" s="377"/>
      <c r="D53" s="377"/>
      <c r="E53" s="377"/>
      <c r="F53" s="430"/>
      <c r="H53" s="444"/>
      <c r="I53" s="432"/>
      <c r="J53" s="437"/>
    </row>
    <row r="54" spans="1:14">
      <c r="A54" s="421">
        <v>1</v>
      </c>
      <c r="B54" s="1114" t="str">
        <f>[80]Sheet1!$B$23</f>
        <v>Acess Point</v>
      </c>
      <c r="F54" s="435"/>
      <c r="G54" s="272" t="s">
        <v>392</v>
      </c>
      <c r="H54" s="436">
        <v>1</v>
      </c>
      <c r="I54" s="432">
        <f>[80]Sheet1!$D$23</f>
        <v>8500000</v>
      </c>
      <c r="J54" s="437">
        <f t="shared" ref="J54:J64" si="4">H54*I54</f>
        <v>8500000</v>
      </c>
    </row>
    <row r="55" spans="1:14">
      <c r="A55" s="421">
        <f t="shared" ref="A55:A64" si="5">A54+1</f>
        <v>2</v>
      </c>
      <c r="B55" s="1114" t="str">
        <f>[80]Sheet1!$B$24</f>
        <v>Antena Omni</v>
      </c>
      <c r="F55" s="435"/>
      <c r="G55" s="272" t="s">
        <v>392</v>
      </c>
      <c r="H55" s="436">
        <v>1</v>
      </c>
      <c r="I55" s="432">
        <f>[80]Sheet1!$D$24</f>
        <v>10000000</v>
      </c>
      <c r="J55" s="437">
        <f t="shared" si="4"/>
        <v>10000000</v>
      </c>
    </row>
    <row r="56" spans="1:14">
      <c r="A56" s="421">
        <f t="shared" si="5"/>
        <v>3</v>
      </c>
      <c r="B56" s="1114" t="str">
        <f>[80]Sheet1!$B$25</f>
        <v>Kabel Pigtail/Kabel Jumper</v>
      </c>
      <c r="F56" s="435"/>
      <c r="G56" s="272" t="s">
        <v>1006</v>
      </c>
      <c r="H56" s="436">
        <v>1</v>
      </c>
      <c r="I56" s="432">
        <f>[80]Sheet1!$D$25</f>
        <v>500000</v>
      </c>
      <c r="J56" s="437">
        <f t="shared" si="4"/>
        <v>500000</v>
      </c>
    </row>
    <row r="57" spans="1:14">
      <c r="A57" s="421">
        <f t="shared" si="5"/>
        <v>4</v>
      </c>
      <c r="B57" s="1114" t="str">
        <f>[80]Sheet1!$B$26</f>
        <v>POE (Power Over Ethernet)</v>
      </c>
      <c r="F57" s="435"/>
      <c r="G57" s="272" t="s">
        <v>392</v>
      </c>
      <c r="H57" s="436">
        <v>1</v>
      </c>
      <c r="I57" s="432">
        <f>[80]Sheet1!$D$26</f>
        <v>2000000</v>
      </c>
      <c r="J57" s="437">
        <f t="shared" si="4"/>
        <v>2000000</v>
      </c>
    </row>
    <row r="58" spans="1:14">
      <c r="A58" s="421">
        <f t="shared" si="5"/>
        <v>5</v>
      </c>
      <c r="B58" s="1114" t="str">
        <f>[80]Sheet1!$B$27</f>
        <v>Kabel UTP/STP</v>
      </c>
      <c r="F58" s="435"/>
      <c r="G58" s="272" t="s">
        <v>1006</v>
      </c>
      <c r="H58" s="436">
        <v>1</v>
      </c>
      <c r="I58" s="432">
        <f>[80]Sheet1!$D$27</f>
        <v>3000000</v>
      </c>
      <c r="J58" s="437">
        <f t="shared" si="4"/>
        <v>3000000</v>
      </c>
    </row>
    <row r="59" spans="1:14">
      <c r="A59" s="421">
        <f t="shared" si="5"/>
        <v>6</v>
      </c>
      <c r="B59" s="1114" t="str">
        <f>[80]Sheet1!$B$28</f>
        <v>Penangkal Petir (Lightning Arrester)</v>
      </c>
      <c r="F59" s="435"/>
      <c r="G59" s="272" t="s">
        <v>392</v>
      </c>
      <c r="H59" s="436">
        <v>1</v>
      </c>
      <c r="I59" s="432">
        <f>[80]Sheet1!$D$28</f>
        <v>3000000</v>
      </c>
      <c r="J59" s="437">
        <f t="shared" si="4"/>
        <v>3000000</v>
      </c>
    </row>
    <row r="60" spans="1:14">
      <c r="A60" s="421">
        <f t="shared" si="5"/>
        <v>7</v>
      </c>
      <c r="B60" s="434"/>
      <c r="F60" s="435"/>
      <c r="H60" s="436">
        <v>0</v>
      </c>
      <c r="I60" s="432">
        <v>0</v>
      </c>
      <c r="J60" s="437">
        <f t="shared" si="4"/>
        <v>0</v>
      </c>
    </row>
    <row r="61" spans="1:14">
      <c r="A61" s="421">
        <f t="shared" si="5"/>
        <v>8</v>
      </c>
      <c r="B61" s="434"/>
      <c r="F61" s="435"/>
      <c r="H61" s="436">
        <v>0</v>
      </c>
      <c r="I61" s="432">
        <v>0</v>
      </c>
      <c r="J61" s="437">
        <f t="shared" si="4"/>
        <v>0</v>
      </c>
    </row>
    <row r="62" spans="1:14">
      <c r="A62" s="421">
        <f t="shared" si="5"/>
        <v>9</v>
      </c>
      <c r="B62" s="434"/>
      <c r="F62" s="435"/>
      <c r="H62" s="436">
        <v>0</v>
      </c>
      <c r="I62" s="432">
        <v>0</v>
      </c>
      <c r="J62" s="437">
        <f t="shared" si="4"/>
        <v>0</v>
      </c>
    </row>
    <row r="63" spans="1:14">
      <c r="A63" s="421">
        <f t="shared" si="5"/>
        <v>10</v>
      </c>
      <c r="B63" s="434"/>
      <c r="F63" s="435"/>
      <c r="H63" s="436">
        <v>0</v>
      </c>
      <c r="I63" s="432">
        <v>0</v>
      </c>
      <c r="J63" s="437">
        <f t="shared" si="4"/>
        <v>0</v>
      </c>
    </row>
    <row r="64" spans="1:14">
      <c r="A64" s="421">
        <f t="shared" si="5"/>
        <v>11</v>
      </c>
      <c r="B64" s="434"/>
      <c r="F64" s="435"/>
      <c r="H64" s="436">
        <v>0</v>
      </c>
      <c r="I64" s="432">
        <v>0</v>
      </c>
      <c r="J64" s="437">
        <f t="shared" si="4"/>
        <v>0</v>
      </c>
    </row>
    <row r="65" spans="1:10">
      <c r="A65" s="421"/>
      <c r="B65" s="434"/>
      <c r="F65" s="435"/>
      <c r="H65" s="444"/>
      <c r="I65" s="439" t="s">
        <v>368</v>
      </c>
      <c r="J65" s="440">
        <f>SUM(J54:J64)</f>
        <v>27000000</v>
      </c>
    </row>
    <row r="66" spans="1:10">
      <c r="A66" s="421"/>
      <c r="B66" s="434"/>
      <c r="F66" s="435"/>
      <c r="H66" s="444"/>
      <c r="I66" s="432"/>
      <c r="J66" s="440"/>
    </row>
    <row r="67" spans="1:10">
      <c r="A67" s="428" t="s">
        <v>369</v>
      </c>
      <c r="B67" s="429" t="s">
        <v>62</v>
      </c>
      <c r="C67" s="377"/>
      <c r="D67" s="377"/>
      <c r="E67" s="377"/>
      <c r="F67" s="430"/>
      <c r="H67" s="444"/>
      <c r="I67" s="432"/>
      <c r="J67" s="437"/>
    </row>
    <row r="68" spans="1:10">
      <c r="A68" s="438">
        <v>1</v>
      </c>
      <c r="B68" s="434"/>
      <c r="F68" s="435"/>
      <c r="H68" s="436">
        <v>0</v>
      </c>
      <c r="I68" s="432">
        <v>0</v>
      </c>
      <c r="J68" s="437">
        <f>H68*I68</f>
        <v>0</v>
      </c>
    </row>
    <row r="69" spans="1:10">
      <c r="A69" s="421"/>
      <c r="B69" s="434"/>
      <c r="F69" s="435"/>
      <c r="H69" s="444"/>
      <c r="I69" s="439" t="s">
        <v>371</v>
      </c>
      <c r="J69" s="440">
        <f>SUM(J68:J68)</f>
        <v>0</v>
      </c>
    </row>
    <row r="70" spans="1:10">
      <c r="A70" s="421"/>
      <c r="B70" s="434"/>
      <c r="F70" s="435"/>
      <c r="H70" s="444"/>
      <c r="I70" s="432"/>
      <c r="J70" s="440"/>
    </row>
    <row r="71" spans="1:10">
      <c r="A71" s="449" t="s">
        <v>372</v>
      </c>
      <c r="B71" s="429" t="s">
        <v>1010</v>
      </c>
      <c r="C71" s="377"/>
      <c r="D71" s="377"/>
      <c r="E71" s="377"/>
      <c r="F71" s="430"/>
      <c r="H71" s="444"/>
      <c r="I71" s="432"/>
      <c r="J71" s="437"/>
    </row>
    <row r="72" spans="1:10">
      <c r="A72" s="421">
        <v>1</v>
      </c>
      <c r="B72" s="434" t="str">
        <f>[80]Sheet1!$B$30</f>
        <v>Kabel Telepon outdoor</v>
      </c>
      <c r="F72" s="435"/>
      <c r="G72" s="272" t="s">
        <v>1006</v>
      </c>
      <c r="H72" s="436">
        <v>1</v>
      </c>
      <c r="I72" s="432">
        <f>[80]Sheet1!$D$30</f>
        <v>4500000</v>
      </c>
      <c r="J72" s="437">
        <f t="shared" ref="J72:J79" si="6">H72*I72</f>
        <v>4500000</v>
      </c>
    </row>
    <row r="73" spans="1:10">
      <c r="A73" s="421">
        <v>2</v>
      </c>
      <c r="B73" s="1114" t="str">
        <f>[80]Sheet1!$B$31</f>
        <v>Kabel Telepon Indoor</v>
      </c>
      <c r="F73" s="435"/>
      <c r="G73" s="272" t="s">
        <v>1006</v>
      </c>
      <c r="H73" s="436">
        <v>1</v>
      </c>
      <c r="I73" s="432">
        <f>[80]Sheet1!$D$31</f>
        <v>4000000</v>
      </c>
      <c r="J73" s="437">
        <f t="shared" si="6"/>
        <v>4000000</v>
      </c>
    </row>
    <row r="74" spans="1:10">
      <c r="A74" s="438">
        <v>3</v>
      </c>
      <c r="B74" s="1114" t="str">
        <f>[80]Sheet1!$B$32</f>
        <v>Box Telepon Konektor</v>
      </c>
      <c r="C74" s="451"/>
      <c r="D74" s="451"/>
      <c r="E74" s="451"/>
      <c r="F74" s="452"/>
      <c r="G74" s="272" t="s">
        <v>392</v>
      </c>
      <c r="H74" s="436">
        <v>1</v>
      </c>
      <c r="I74" s="432">
        <f>[80]Sheet1!$D$32</f>
        <v>6500000</v>
      </c>
      <c r="J74" s="437">
        <f t="shared" si="6"/>
        <v>6500000</v>
      </c>
    </row>
    <row r="75" spans="1:10">
      <c r="A75" s="421">
        <v>4</v>
      </c>
      <c r="B75" s="1114" t="str">
        <f>[80]Sheet1!$B$33</f>
        <v>Kabel Protection ( Ugreen Cable Zipper Protection )</v>
      </c>
      <c r="F75" s="435"/>
      <c r="G75" s="272" t="s">
        <v>813</v>
      </c>
      <c r="H75" s="436">
        <v>20</v>
      </c>
      <c r="I75" s="432">
        <f>[80]Sheet1!$D$33</f>
        <v>200000</v>
      </c>
      <c r="J75" s="437">
        <f t="shared" si="6"/>
        <v>4000000</v>
      </c>
    </row>
    <row r="76" spans="1:10">
      <c r="A76" s="421">
        <v>5</v>
      </c>
      <c r="B76" s="1114" t="str">
        <f>[80]Sheet1!$B$34</f>
        <v>Paku Klem</v>
      </c>
      <c r="F76" s="435"/>
      <c r="G76" s="272" t="s">
        <v>1015</v>
      </c>
      <c r="H76" s="436">
        <v>1</v>
      </c>
      <c r="I76" s="432">
        <f>[80]Sheet1!$D$34</f>
        <v>500000</v>
      </c>
      <c r="J76" s="437">
        <f t="shared" si="6"/>
        <v>500000</v>
      </c>
    </row>
    <row r="77" spans="1:10">
      <c r="A77" s="421">
        <v>6</v>
      </c>
      <c r="B77" s="1114" t="str">
        <f>[80]Sheet1!$B$35</f>
        <v>Peralatan kerja pabx</v>
      </c>
      <c r="F77" s="435"/>
      <c r="G77" s="272" t="s">
        <v>392</v>
      </c>
      <c r="H77" s="436">
        <v>1</v>
      </c>
      <c r="I77" s="432">
        <f>[80]Sheet1!$D$35</f>
        <v>2000000</v>
      </c>
      <c r="J77" s="437">
        <f t="shared" si="6"/>
        <v>2000000</v>
      </c>
    </row>
    <row r="78" spans="1:10">
      <c r="A78" s="421">
        <v>7</v>
      </c>
      <c r="B78" s="434"/>
      <c r="F78" s="435"/>
      <c r="H78" s="436">
        <v>0</v>
      </c>
      <c r="I78" s="432">
        <v>0</v>
      </c>
      <c r="J78" s="437">
        <f t="shared" si="6"/>
        <v>0</v>
      </c>
    </row>
    <row r="79" spans="1:10">
      <c r="A79" s="421">
        <v>8</v>
      </c>
      <c r="B79" s="434"/>
      <c r="F79" s="435"/>
      <c r="H79" s="436">
        <v>0</v>
      </c>
      <c r="I79" s="432">
        <v>0</v>
      </c>
      <c r="J79" s="437">
        <f t="shared" si="6"/>
        <v>0</v>
      </c>
    </row>
    <row r="80" spans="1:10">
      <c r="A80" s="421"/>
      <c r="B80" s="434"/>
      <c r="F80" s="435"/>
      <c r="H80" s="444"/>
      <c r="I80" s="439" t="s">
        <v>377</v>
      </c>
      <c r="J80" s="440">
        <f>SUM(J72:J79)</f>
        <v>21500000</v>
      </c>
    </row>
    <row r="81" spans="1:16">
      <c r="A81" s="428" t="s">
        <v>378</v>
      </c>
      <c r="B81" s="429" t="s">
        <v>62</v>
      </c>
      <c r="C81" s="377"/>
      <c r="D81" s="377"/>
      <c r="E81" s="377"/>
      <c r="F81" s="430"/>
      <c r="H81" s="444"/>
      <c r="I81" s="432"/>
      <c r="J81" s="437"/>
    </row>
    <row r="82" spans="1:16">
      <c r="A82" s="421"/>
      <c r="B82" s="434"/>
      <c r="F82" s="435"/>
      <c r="H82" s="444"/>
      <c r="I82" s="432"/>
      <c r="J82" s="437"/>
    </row>
    <row r="83" spans="1:16">
      <c r="A83" s="421">
        <v>1</v>
      </c>
      <c r="B83" s="434"/>
      <c r="F83" s="435"/>
      <c r="H83" s="453">
        <v>0</v>
      </c>
      <c r="I83" s="454">
        <v>0</v>
      </c>
      <c r="J83" s="437">
        <f t="shared" ref="J83:J96" si="7">H83*I83</f>
        <v>0</v>
      </c>
      <c r="N83" s="436">
        <f>AnResto200!F93</f>
        <v>65.62</v>
      </c>
      <c r="O83" s="432">
        <v>140000</v>
      </c>
      <c r="P83" s="437">
        <f t="shared" ref="P83:P90" si="8">N83*O83</f>
        <v>9186800</v>
      </c>
    </row>
    <row r="84" spans="1:16">
      <c r="A84" s="421"/>
      <c r="B84" s="434"/>
      <c r="F84" s="435"/>
      <c r="H84" s="453"/>
      <c r="I84" s="454"/>
      <c r="J84" s="455"/>
      <c r="N84" s="436">
        <f>AnResto200!F103</f>
        <v>39.65</v>
      </c>
      <c r="O84" s="432">
        <v>1300000</v>
      </c>
      <c r="P84" s="437">
        <f t="shared" si="8"/>
        <v>51545000</v>
      </c>
    </row>
    <row r="85" spans="1:16">
      <c r="A85" s="421">
        <v>2</v>
      </c>
      <c r="B85" s="434"/>
      <c r="F85" s="435"/>
      <c r="H85" s="453">
        <v>0</v>
      </c>
      <c r="I85" s="454">
        <v>0</v>
      </c>
      <c r="J85" s="437">
        <f t="shared" si="7"/>
        <v>0</v>
      </c>
      <c r="N85" s="436">
        <f>AnResto200!F110</f>
        <v>27.78</v>
      </c>
      <c r="O85" s="432">
        <f>O83</f>
        <v>140000</v>
      </c>
      <c r="P85" s="437">
        <f t="shared" si="8"/>
        <v>3889200</v>
      </c>
    </row>
    <row r="86" spans="1:16">
      <c r="A86" s="421"/>
      <c r="B86" s="434"/>
      <c r="F86" s="435"/>
      <c r="H86" s="453"/>
      <c r="I86" s="454"/>
      <c r="J86" s="455"/>
      <c r="N86" s="436">
        <f>AnResto200!F117</f>
        <v>21.58</v>
      </c>
      <c r="O86" s="432">
        <f>O84</f>
        <v>1300000</v>
      </c>
      <c r="P86" s="437">
        <f t="shared" si="8"/>
        <v>28053999.999999996</v>
      </c>
    </row>
    <row r="87" spans="1:16">
      <c r="A87" s="421">
        <v>3</v>
      </c>
      <c r="B87" s="434"/>
      <c r="F87" s="435"/>
      <c r="H87" s="453">
        <v>0</v>
      </c>
      <c r="I87" s="454">
        <v>0</v>
      </c>
      <c r="J87" s="437">
        <f t="shared" si="7"/>
        <v>0</v>
      </c>
      <c r="N87" s="436">
        <f>AnResto200!G123</f>
        <v>54.56</v>
      </c>
      <c r="O87" s="432">
        <v>140000</v>
      </c>
      <c r="P87" s="437">
        <f t="shared" si="8"/>
        <v>7638400</v>
      </c>
    </row>
    <row r="88" spans="1:16">
      <c r="A88" s="421"/>
      <c r="B88" s="434"/>
      <c r="F88" s="435"/>
      <c r="H88" s="453"/>
      <c r="I88" s="454"/>
      <c r="J88" s="455"/>
      <c r="N88" s="436">
        <f>AnResto200!G124</f>
        <v>19.440000000000001</v>
      </c>
      <c r="O88" s="432">
        <v>650000</v>
      </c>
      <c r="P88" s="437">
        <f t="shared" si="8"/>
        <v>12636000</v>
      </c>
    </row>
    <row r="89" spans="1:16">
      <c r="A89" s="421">
        <v>4</v>
      </c>
      <c r="B89" s="434"/>
      <c r="F89" s="435"/>
      <c r="H89" s="453">
        <v>0</v>
      </c>
      <c r="I89" s="454">
        <v>0</v>
      </c>
      <c r="J89" s="437">
        <f t="shared" si="7"/>
        <v>0</v>
      </c>
      <c r="N89" s="445">
        <f>AnResto200!G130</f>
        <v>66.400000000000006</v>
      </c>
      <c r="O89" s="432">
        <f>O87</f>
        <v>140000</v>
      </c>
      <c r="P89" s="437">
        <f t="shared" si="8"/>
        <v>9296000</v>
      </c>
    </row>
    <row r="90" spans="1:16">
      <c r="A90" s="421"/>
      <c r="B90" s="434"/>
      <c r="F90" s="435"/>
      <c r="H90" s="444"/>
      <c r="I90" s="432"/>
      <c r="J90" s="437"/>
      <c r="N90" s="445">
        <f>AnResto200!G131</f>
        <v>19.440000000000001</v>
      </c>
      <c r="O90" s="432">
        <f>O88</f>
        <v>650000</v>
      </c>
      <c r="P90" s="437">
        <f t="shared" si="8"/>
        <v>12636000</v>
      </c>
    </row>
    <row r="91" spans="1:16">
      <c r="A91" s="421">
        <v>5</v>
      </c>
      <c r="B91" s="434"/>
      <c r="F91" s="435"/>
      <c r="H91" s="436">
        <v>0</v>
      </c>
      <c r="I91" s="432">
        <v>0</v>
      </c>
      <c r="J91" s="437">
        <f t="shared" si="7"/>
        <v>0</v>
      </c>
    </row>
    <row r="92" spans="1:16">
      <c r="A92" s="421"/>
      <c r="B92" s="456"/>
      <c r="C92" s="457"/>
      <c r="D92" s="457"/>
      <c r="E92" s="457"/>
      <c r="F92" s="458"/>
      <c r="H92" s="436"/>
      <c r="I92" s="432"/>
      <c r="J92" s="437"/>
    </row>
    <row r="93" spans="1:16">
      <c r="A93" s="421">
        <f>A91+1</f>
        <v>6</v>
      </c>
      <c r="B93" s="434"/>
      <c r="F93" s="435"/>
      <c r="H93" s="436">
        <v>0</v>
      </c>
      <c r="I93" s="432">
        <v>0</v>
      </c>
      <c r="J93" s="437">
        <f t="shared" si="7"/>
        <v>0</v>
      </c>
    </row>
    <row r="94" spans="1:16">
      <c r="A94" s="421">
        <f>A93+1</f>
        <v>7</v>
      </c>
      <c r="B94" s="434"/>
      <c r="F94" s="435"/>
      <c r="H94" s="436">
        <v>0</v>
      </c>
      <c r="I94" s="432">
        <v>0</v>
      </c>
      <c r="J94" s="437">
        <f t="shared" si="7"/>
        <v>0</v>
      </c>
    </row>
    <row r="95" spans="1:16">
      <c r="A95" s="421">
        <f t="shared" ref="A95:A96" si="9">A94+1</f>
        <v>8</v>
      </c>
      <c r="B95" s="434"/>
      <c r="F95" s="435"/>
      <c r="H95" s="436">
        <v>0</v>
      </c>
      <c r="I95" s="432">
        <v>0</v>
      </c>
      <c r="J95" s="437">
        <f t="shared" si="7"/>
        <v>0</v>
      </c>
    </row>
    <row r="96" spans="1:16">
      <c r="A96" s="421">
        <f t="shared" si="9"/>
        <v>9</v>
      </c>
      <c r="B96" s="434"/>
      <c r="F96" s="435"/>
      <c r="H96" s="436">
        <v>0</v>
      </c>
      <c r="I96" s="432">
        <v>0</v>
      </c>
      <c r="J96" s="437">
        <f t="shared" si="7"/>
        <v>0</v>
      </c>
    </row>
    <row r="97" spans="1:15">
      <c r="A97" s="421"/>
      <c r="B97" s="434"/>
      <c r="F97" s="435"/>
      <c r="H97" s="444"/>
      <c r="I97" s="439" t="s">
        <v>383</v>
      </c>
      <c r="J97" s="440">
        <f>SUM(J83:J96)</f>
        <v>0</v>
      </c>
    </row>
    <row r="98" spans="1:15">
      <c r="A98" s="428" t="s">
        <v>384</v>
      </c>
      <c r="B98" s="429" t="s">
        <v>62</v>
      </c>
      <c r="C98" s="377"/>
      <c r="D98" s="377"/>
      <c r="E98" s="377"/>
      <c r="F98" s="430"/>
      <c r="H98" s="444"/>
      <c r="I98" s="432"/>
      <c r="J98" s="437"/>
    </row>
    <row r="99" spans="1:15">
      <c r="A99" s="421">
        <v>1</v>
      </c>
      <c r="B99" s="434"/>
      <c r="F99" s="435"/>
      <c r="H99" s="436">
        <f>H50</f>
        <v>0</v>
      </c>
      <c r="I99" s="432">
        <v>0</v>
      </c>
      <c r="J99" s="437">
        <f>H99*I99</f>
        <v>0</v>
      </c>
    </row>
    <row r="100" spans="1:15">
      <c r="A100" s="421">
        <v>2</v>
      </c>
      <c r="B100" s="434"/>
      <c r="F100" s="435"/>
      <c r="H100" s="436">
        <f>H68</f>
        <v>0</v>
      </c>
      <c r="I100" s="432">
        <v>0</v>
      </c>
      <c r="J100" s="437">
        <f>H100*I100</f>
        <v>0</v>
      </c>
    </row>
    <row r="101" spans="1:15">
      <c r="A101" s="421"/>
      <c r="B101" s="434"/>
      <c r="F101" s="435"/>
      <c r="H101" s="444"/>
      <c r="I101" s="439" t="s">
        <v>388</v>
      </c>
      <c r="J101" s="440">
        <f>SUM(J99:J100)</f>
        <v>0</v>
      </c>
      <c r="K101" s="448"/>
      <c r="L101" s="448"/>
      <c r="O101" s="448"/>
    </row>
    <row r="102" spans="1:15">
      <c r="A102" s="428" t="s">
        <v>389</v>
      </c>
      <c r="B102" s="429" t="s">
        <v>62</v>
      </c>
      <c r="C102" s="377"/>
      <c r="D102" s="377"/>
      <c r="E102" s="377"/>
      <c r="F102" s="430"/>
      <c r="H102" s="444"/>
      <c r="I102" s="432"/>
      <c r="J102" s="437"/>
    </row>
    <row r="103" spans="1:15">
      <c r="A103" s="421"/>
      <c r="B103" s="434"/>
      <c r="F103" s="435"/>
      <c r="H103" s="436"/>
      <c r="I103" s="432"/>
      <c r="J103" s="437"/>
    </row>
    <row r="104" spans="1:15">
      <c r="A104" s="421"/>
      <c r="B104" s="434"/>
      <c r="F104" s="435"/>
      <c r="H104" s="436"/>
      <c r="I104" s="432"/>
      <c r="J104" s="437"/>
    </row>
    <row r="105" spans="1:15">
      <c r="A105" s="421"/>
      <c r="B105" s="434"/>
      <c r="F105" s="435"/>
      <c r="H105" s="436"/>
      <c r="I105" s="432"/>
      <c r="J105" s="437"/>
    </row>
    <row r="106" spans="1:15">
      <c r="A106" s="421"/>
      <c r="B106" s="434"/>
      <c r="F106" s="435"/>
      <c r="H106" s="436"/>
      <c r="I106" s="432"/>
      <c r="J106" s="437"/>
    </row>
    <row r="107" spans="1:15">
      <c r="A107" s="421"/>
      <c r="B107" s="434"/>
      <c r="F107" s="435"/>
      <c r="H107" s="444"/>
      <c r="I107" s="439" t="s">
        <v>394</v>
      </c>
      <c r="J107" s="440">
        <f>SUM(J103:J106)</f>
        <v>0</v>
      </c>
    </row>
    <row r="108" spans="1:15">
      <c r="A108" s="428" t="s">
        <v>395</v>
      </c>
      <c r="B108" s="429" t="s">
        <v>62</v>
      </c>
      <c r="C108" s="377"/>
      <c r="D108" s="377"/>
      <c r="E108" s="377"/>
      <c r="F108" s="430"/>
      <c r="H108" s="444"/>
      <c r="I108" s="432"/>
      <c r="J108" s="437"/>
    </row>
    <row r="109" spans="1:15">
      <c r="A109" s="421"/>
      <c r="B109" s="434" t="s">
        <v>978</v>
      </c>
      <c r="F109" s="435"/>
      <c r="H109" s="436"/>
      <c r="I109" s="432"/>
      <c r="J109" s="437"/>
    </row>
    <row r="110" spans="1:15">
      <c r="A110" s="421"/>
      <c r="B110" s="434"/>
      <c r="F110" s="435"/>
      <c r="H110" s="436"/>
      <c r="I110" s="432"/>
      <c r="J110" s="437"/>
    </row>
    <row r="111" spans="1:15">
      <c r="A111" s="421"/>
      <c r="B111" s="434"/>
      <c r="F111" s="435"/>
      <c r="H111" s="436"/>
      <c r="I111" s="432"/>
      <c r="J111" s="437"/>
    </row>
    <row r="112" spans="1:15">
      <c r="A112" s="421"/>
      <c r="B112" s="434"/>
      <c r="F112" s="435"/>
      <c r="H112" s="436"/>
      <c r="I112" s="432"/>
      <c r="J112" s="437"/>
    </row>
    <row r="113" spans="1:10">
      <c r="A113" s="421"/>
      <c r="B113" s="434"/>
      <c r="F113" s="435"/>
      <c r="H113" s="436"/>
      <c r="I113" s="432"/>
      <c r="J113" s="437"/>
    </row>
    <row r="114" spans="1:10">
      <c r="A114" s="421"/>
      <c r="B114" s="434"/>
      <c r="F114" s="435"/>
      <c r="H114" s="436"/>
      <c r="I114" s="432"/>
      <c r="J114" s="437"/>
    </row>
    <row r="115" spans="1:10">
      <c r="A115" s="421"/>
      <c r="B115" s="434"/>
      <c r="F115" s="435"/>
      <c r="H115" s="436"/>
      <c r="I115" s="439" t="s">
        <v>394</v>
      </c>
      <c r="J115" s="440">
        <f>SUM(J109:J114)</f>
        <v>0</v>
      </c>
    </row>
    <row r="116" spans="1:10">
      <c r="A116" s="421"/>
      <c r="B116" s="434"/>
      <c r="F116" s="435"/>
      <c r="H116" s="444"/>
      <c r="I116" s="432"/>
      <c r="J116" s="437"/>
    </row>
    <row r="117" spans="1:10">
      <c r="A117" s="428" t="s">
        <v>404</v>
      </c>
      <c r="B117" s="429" t="s">
        <v>62</v>
      </c>
      <c r="C117" s="377"/>
      <c r="D117" s="377"/>
      <c r="E117" s="377"/>
      <c r="F117" s="430"/>
      <c r="H117" s="444"/>
      <c r="I117" s="432"/>
      <c r="J117" s="437"/>
    </row>
    <row r="118" spans="1:10">
      <c r="A118" s="421">
        <v>1</v>
      </c>
      <c r="B118" s="434"/>
      <c r="F118" s="435"/>
      <c r="H118" s="436">
        <v>0</v>
      </c>
      <c r="I118" s="432">
        <v>0</v>
      </c>
      <c r="J118" s="437">
        <f>H118*I118</f>
        <v>0</v>
      </c>
    </row>
    <row r="119" spans="1:10">
      <c r="A119" s="421">
        <f>A118+1</f>
        <v>2</v>
      </c>
      <c r="B119" s="434"/>
      <c r="F119" s="435"/>
      <c r="H119" s="436">
        <v>0</v>
      </c>
      <c r="I119" s="432">
        <v>0</v>
      </c>
      <c r="J119" s="437">
        <f>H119*I119</f>
        <v>0</v>
      </c>
    </row>
    <row r="120" spans="1:10">
      <c r="A120" s="421">
        <f>A119+1</f>
        <v>3</v>
      </c>
      <c r="B120" s="434"/>
      <c r="F120" s="435"/>
      <c r="H120" s="436">
        <v>0</v>
      </c>
      <c r="I120" s="432">
        <v>0</v>
      </c>
      <c r="J120" s="437">
        <f>H120*I120</f>
        <v>0</v>
      </c>
    </row>
    <row r="121" spans="1:10">
      <c r="A121" s="421">
        <f>A120+1</f>
        <v>4</v>
      </c>
      <c r="B121" s="434"/>
      <c r="F121" s="435"/>
      <c r="H121" s="436">
        <v>0</v>
      </c>
      <c r="I121" s="432">
        <v>0</v>
      </c>
      <c r="J121" s="437">
        <f>H121*I121</f>
        <v>0</v>
      </c>
    </row>
    <row r="122" spans="1:10">
      <c r="A122" s="421"/>
      <c r="B122" s="434"/>
      <c r="F122" s="435"/>
      <c r="H122" s="436"/>
      <c r="I122" s="432"/>
      <c r="J122" s="440">
        <f>SUM(J118:J121)</f>
        <v>0</v>
      </c>
    </row>
    <row r="123" spans="1:10" ht="16.5" thickBot="1">
      <c r="A123" s="459"/>
      <c r="B123" s="460"/>
      <c r="C123" s="461"/>
      <c r="D123" s="461"/>
      <c r="E123" s="461"/>
      <c r="F123" s="462"/>
      <c r="G123" s="463"/>
      <c r="H123" s="464"/>
      <c r="I123" s="465"/>
      <c r="J123" s="466"/>
    </row>
    <row r="124" spans="1:10">
      <c r="A124" s="421"/>
      <c r="B124" s="434"/>
      <c r="F124" s="435"/>
      <c r="H124" s="436"/>
      <c r="I124" s="432"/>
      <c r="J124" s="440"/>
    </row>
    <row r="125" spans="1:10">
      <c r="A125" s="421"/>
      <c r="B125" s="434"/>
      <c r="F125" s="435"/>
      <c r="H125" s="436"/>
      <c r="I125" s="439" t="s">
        <v>410</v>
      </c>
      <c r="J125" s="467">
        <f>SUM(J13:J122)/2</f>
        <v>184100000</v>
      </c>
    </row>
    <row r="126" spans="1:10" ht="16.5" thickBot="1">
      <c r="A126" s="468"/>
      <c r="B126" s="469"/>
      <c r="C126" s="470"/>
      <c r="D126" s="470"/>
      <c r="E126" s="470"/>
      <c r="F126" s="471"/>
      <c r="G126" s="472"/>
      <c r="H126" s="473"/>
      <c r="I126" s="474"/>
      <c r="J126" s="475"/>
    </row>
    <row r="127" spans="1:10" ht="16.5" thickTop="1">
      <c r="H127" s="476"/>
      <c r="I127" s="477"/>
      <c r="J127" s="478"/>
    </row>
    <row r="128" spans="1:10">
      <c r="H128" s="476"/>
      <c r="I128" s="477"/>
      <c r="J128" s="479"/>
    </row>
    <row r="129" spans="7:10">
      <c r="H129" s="476"/>
      <c r="I129" s="477"/>
      <c r="J129" s="478"/>
    </row>
    <row r="130" spans="7:10">
      <c r="H130" s="476"/>
      <c r="I130" s="477"/>
      <c r="J130" s="479"/>
    </row>
    <row r="131" spans="7:10">
      <c r="H131" s="476"/>
      <c r="I131" s="477"/>
      <c r="J131" s="479"/>
    </row>
    <row r="132" spans="7:10">
      <c r="H132" s="476"/>
      <c r="I132" s="477"/>
      <c r="J132" s="479"/>
    </row>
    <row r="133" spans="7:10">
      <c r="H133" s="476"/>
      <c r="I133" s="477"/>
      <c r="J133" s="479"/>
    </row>
    <row r="134" spans="7:10">
      <c r="H134" s="476"/>
      <c r="I134" s="477"/>
      <c r="J134" s="479"/>
    </row>
    <row r="135" spans="7:10">
      <c r="H135" s="476"/>
      <c r="I135" s="477"/>
      <c r="J135" s="479"/>
    </row>
    <row r="136" spans="7:10">
      <c r="H136" s="476"/>
      <c r="I136" s="477"/>
      <c r="J136" s="479"/>
    </row>
    <row r="137" spans="7:10">
      <c r="H137" s="476"/>
      <c r="I137" s="477"/>
      <c r="J137" s="479"/>
    </row>
    <row r="138" spans="7:10">
      <c r="H138" s="476"/>
      <c r="I138" s="477"/>
      <c r="J138" s="479"/>
    </row>
    <row r="140" spans="7:10">
      <c r="G140" s="417" t="s">
        <v>411</v>
      </c>
      <c r="J140" s="480"/>
    </row>
    <row r="141" spans="7:10">
      <c r="G141" s="417"/>
      <c r="J141" s="448"/>
    </row>
    <row r="142" spans="7:10">
      <c r="G142" s="272" t="s">
        <v>412</v>
      </c>
      <c r="J142" s="481"/>
    </row>
    <row r="143" spans="7:10">
      <c r="G143" s="417"/>
    </row>
    <row r="148" spans="7:7">
      <c r="G148" s="482"/>
    </row>
  </sheetData>
  <mergeCells count="1">
    <mergeCell ref="H7:J7"/>
  </mergeCells>
  <pageMargins left="0.39370078740157483" right="0.31496062992125984" top="0.5" bottom="0.42" header="0.18" footer="0.31496062992125984"/>
  <pageSetup paperSize="9" scale="85" orientation="portrait" horizontalDpi="4294967293" verticalDpi="300" r:id="rId1"/>
  <headerFooter alignWithMargins="0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0EBBAB-9127-4050-AA51-0BD912BB3DBB}">
  <dimension ref="A1:Q123"/>
  <sheetViews>
    <sheetView topLeftCell="B61" zoomScale="85" zoomScaleNormal="85" workbookViewId="0">
      <selection activeCell="R91" sqref="R91"/>
    </sheetView>
  </sheetViews>
  <sheetFormatPr defaultColWidth="9.140625" defaultRowHeight="15.75"/>
  <cols>
    <col min="1" max="1" width="9.140625" style="814"/>
    <col min="2" max="2" width="6.42578125" style="814" customWidth="1"/>
    <col min="3" max="7" width="10.7109375" style="814" customWidth="1"/>
    <col min="8" max="8" width="9" style="815" customWidth="1"/>
    <col min="9" max="9" width="9.42578125" style="814" customWidth="1"/>
    <col min="10" max="10" width="14" style="416" customWidth="1"/>
    <col min="11" max="11" width="15.5703125" style="814" customWidth="1"/>
    <col min="12" max="12" width="9.28515625" style="814" customWidth="1"/>
    <col min="13" max="15" width="9.140625" style="814"/>
    <col min="16" max="16" width="14.140625" style="814" customWidth="1"/>
    <col min="17" max="17" width="11" style="814" bestFit="1" customWidth="1"/>
    <col min="18" max="16384" width="9.140625" style="814"/>
  </cols>
  <sheetData>
    <row r="1" spans="2:12">
      <c r="B1" s="414"/>
      <c r="C1" s="415"/>
      <c r="D1" s="415"/>
      <c r="E1" s="415"/>
      <c r="F1" s="415"/>
      <c r="G1" s="415"/>
      <c r="H1" s="415"/>
      <c r="I1" s="415"/>
      <c r="J1" s="415"/>
      <c r="K1" s="272"/>
    </row>
    <row r="2" spans="2:12">
      <c r="B2" s="414"/>
      <c r="C2" s="414"/>
      <c r="D2" s="414"/>
      <c r="E2" s="414"/>
      <c r="F2" s="414"/>
      <c r="G2" s="414"/>
      <c r="H2" s="414"/>
      <c r="I2" s="414"/>
      <c r="J2" s="414"/>
      <c r="K2" s="417"/>
    </row>
    <row r="3" spans="2:12">
      <c r="B3" s="414" t="s">
        <v>0</v>
      </c>
      <c r="C3" s="2"/>
      <c r="D3" s="2"/>
      <c r="E3" s="2"/>
      <c r="F3" s="2"/>
      <c r="G3" s="1"/>
      <c r="H3" s="5"/>
      <c r="I3" s="6"/>
      <c r="J3" s="1"/>
      <c r="K3" s="1"/>
    </row>
    <row r="4" spans="2:12">
      <c r="B4" s="859" t="s">
        <v>942</v>
      </c>
      <c r="C4" s="2"/>
      <c r="D4" s="2"/>
      <c r="E4" s="2"/>
      <c r="F4" s="2"/>
      <c r="G4" s="1"/>
      <c r="H4" s="5"/>
      <c r="I4" s="6"/>
      <c r="J4" s="1"/>
      <c r="K4" s="1"/>
    </row>
    <row r="5" spans="2:12">
      <c r="B5" s="850" t="s">
        <v>1</v>
      </c>
      <c r="C5" s="2"/>
      <c r="D5" s="2"/>
      <c r="E5" s="2"/>
      <c r="F5" s="2"/>
      <c r="G5" s="1"/>
      <c r="H5" s="5"/>
      <c r="I5" s="6"/>
      <c r="J5" s="1"/>
      <c r="K5" s="1"/>
    </row>
    <row r="6" spans="2:12">
      <c r="B6" s="414" t="s">
        <v>2</v>
      </c>
      <c r="C6" s="2"/>
      <c r="D6" s="2"/>
      <c r="E6" s="2"/>
      <c r="F6" s="2"/>
      <c r="G6" s="1"/>
      <c r="H6" s="5"/>
      <c r="I6" s="6"/>
      <c r="J6" s="1"/>
      <c r="K6" s="1"/>
    </row>
    <row r="7" spans="2:12">
      <c r="B7" s="850" t="s">
        <v>3</v>
      </c>
      <c r="C7" s="2"/>
      <c r="D7" s="2"/>
      <c r="E7" s="2"/>
      <c r="F7" s="2"/>
      <c r="G7" s="1"/>
      <c r="H7" s="5"/>
      <c r="I7" s="6"/>
      <c r="J7" s="1"/>
      <c r="K7" s="1"/>
    </row>
    <row r="8" spans="2:12" ht="16.5" thickBot="1">
      <c r="B8" s="1"/>
      <c r="C8" s="1"/>
      <c r="D8" s="1"/>
      <c r="E8" s="1"/>
      <c r="F8" s="1"/>
      <c r="G8" s="1"/>
      <c r="H8" s="1"/>
      <c r="I8" s="1136" t="s">
        <v>944</v>
      </c>
      <c r="J8" s="1136"/>
      <c r="K8" s="1136"/>
    </row>
    <row r="9" spans="2:12" ht="15.6" customHeight="1" thickTop="1">
      <c r="B9" s="962"/>
      <c r="C9" s="961"/>
      <c r="D9" s="9"/>
      <c r="E9" s="9"/>
      <c r="F9" s="9"/>
      <c r="G9" s="960"/>
      <c r="H9" s="959"/>
      <c r="I9" s="948"/>
      <c r="J9" s="860" t="s">
        <v>4</v>
      </c>
      <c r="K9" s="879" t="s">
        <v>5</v>
      </c>
      <c r="L9" s="1137"/>
    </row>
    <row r="10" spans="2:12">
      <c r="B10" s="958" t="s">
        <v>6</v>
      </c>
      <c r="C10" s="957" t="s">
        <v>7</v>
      </c>
      <c r="D10" s="854"/>
      <c r="E10" s="854"/>
      <c r="F10" s="854"/>
      <c r="G10" s="956"/>
      <c r="H10" s="1010" t="s">
        <v>8</v>
      </c>
      <c r="I10" s="947" t="s">
        <v>9</v>
      </c>
      <c r="J10" s="862" t="s">
        <v>8</v>
      </c>
      <c r="K10" s="880" t="s">
        <v>4</v>
      </c>
      <c r="L10" s="1137"/>
    </row>
    <row r="11" spans="2:12" ht="16.5" thickBot="1">
      <c r="B11" s="955"/>
      <c r="C11" s="954"/>
      <c r="D11" s="21"/>
      <c r="E11" s="21"/>
      <c r="F11" s="21"/>
      <c r="G11" s="953"/>
      <c r="H11" s="952"/>
      <c r="I11" s="946"/>
      <c r="J11" s="864" t="s">
        <v>10</v>
      </c>
      <c r="K11" s="881" t="s">
        <v>10</v>
      </c>
      <c r="L11" s="840"/>
    </row>
    <row r="12" spans="2:12" ht="16.5" thickTop="1">
      <c r="B12" s="659" t="s">
        <v>339</v>
      </c>
      <c r="C12" s="660" t="s">
        <v>340</v>
      </c>
      <c r="D12" s="661"/>
      <c r="E12" s="661"/>
      <c r="F12" s="661"/>
      <c r="G12" s="992"/>
      <c r="H12" s="423"/>
      <c r="I12" s="425"/>
      <c r="J12" s="426"/>
      <c r="K12" s="1000"/>
      <c r="L12" s="841"/>
    </row>
    <row r="13" spans="2:12" ht="18">
      <c r="B13" s="421">
        <v>1</v>
      </c>
      <c r="C13" s="434" t="s">
        <v>343</v>
      </c>
      <c r="G13" s="435"/>
      <c r="H13" s="815" t="s">
        <v>344</v>
      </c>
      <c r="I13" s="436">
        <v>40</v>
      </c>
      <c r="J13" s="432">
        <v>20000</v>
      </c>
      <c r="K13" s="437">
        <f>I13*J13</f>
        <v>800000</v>
      </c>
      <c r="L13" s="842"/>
    </row>
    <row r="14" spans="2:12">
      <c r="B14" s="438"/>
      <c r="C14" s="434"/>
      <c r="G14" s="435"/>
      <c r="I14" s="436"/>
      <c r="J14" s="432"/>
      <c r="K14" s="437"/>
      <c r="L14" s="842"/>
    </row>
    <row r="15" spans="2:12">
      <c r="B15" s="421"/>
      <c r="C15" s="434"/>
      <c r="G15" s="883"/>
      <c r="I15" s="436"/>
      <c r="J15" s="439" t="s">
        <v>348</v>
      </c>
      <c r="K15" s="440">
        <f>SUM(K13:K13)</f>
        <v>800000</v>
      </c>
      <c r="L15" s="843"/>
    </row>
    <row r="16" spans="2:12">
      <c r="B16" s="428" t="s">
        <v>349</v>
      </c>
      <c r="C16" s="429" t="s">
        <v>191</v>
      </c>
      <c r="D16" s="816"/>
      <c r="E16" s="816"/>
      <c r="F16" s="816"/>
      <c r="G16" s="435"/>
      <c r="I16" s="436"/>
      <c r="J16" s="432"/>
      <c r="K16" s="437"/>
      <c r="L16" s="841"/>
    </row>
    <row r="17" spans="2:12" ht="18">
      <c r="B17" s="421">
        <v>1</v>
      </c>
      <c r="C17" s="434" t="s">
        <v>554</v>
      </c>
      <c r="G17" s="435"/>
      <c r="H17" s="815" t="s">
        <v>351</v>
      </c>
      <c r="I17" s="436">
        <f>1*1*60.4</f>
        <v>60.4</v>
      </c>
      <c r="J17" s="432">
        <v>150000</v>
      </c>
      <c r="K17" s="437">
        <f>I17*J17</f>
        <v>9060000</v>
      </c>
      <c r="L17" s="842"/>
    </row>
    <row r="18" spans="2:12" ht="18">
      <c r="B18" s="421">
        <f>B17+1</f>
        <v>2</v>
      </c>
      <c r="C18" s="434" t="s">
        <v>352</v>
      </c>
      <c r="G18" s="435"/>
      <c r="H18" s="815" t="s">
        <v>351</v>
      </c>
      <c r="I18" s="436">
        <f>1*0.05*60.4</f>
        <v>3.02</v>
      </c>
      <c r="J18" s="432">
        <f>BQTungguBis!J18</f>
        <v>310000</v>
      </c>
      <c r="K18" s="437">
        <f>I18*J18</f>
        <v>936200</v>
      </c>
      <c r="L18" s="842"/>
    </row>
    <row r="19" spans="2:12" ht="18">
      <c r="B19" s="421">
        <f>B18+1</f>
        <v>3</v>
      </c>
      <c r="C19" s="434" t="s">
        <v>917</v>
      </c>
      <c r="G19" s="435"/>
      <c r="H19" s="815" t="s">
        <v>351</v>
      </c>
      <c r="I19" s="436">
        <f>0.9*0.9*1.5*12</f>
        <v>14.580000000000002</v>
      </c>
      <c r="J19" s="432">
        <v>150000</v>
      </c>
      <c r="K19" s="437">
        <f>I19*J19</f>
        <v>2187000.0000000005</v>
      </c>
      <c r="L19" s="842"/>
    </row>
    <row r="20" spans="2:12" ht="18">
      <c r="B20" s="421">
        <f>B19+1</f>
        <v>4</v>
      </c>
      <c r="C20" s="434" t="s">
        <v>916</v>
      </c>
      <c r="G20" s="435"/>
      <c r="H20" s="815" t="s">
        <v>351</v>
      </c>
      <c r="I20" s="436">
        <f>0.9*0.9*0.3*12</f>
        <v>2.9159999999999999</v>
      </c>
      <c r="J20" s="432">
        <f>'[81] RAB'!H254</f>
        <v>2597000</v>
      </c>
      <c r="K20" s="437">
        <f>I20*J20</f>
        <v>7572852</v>
      </c>
      <c r="L20" s="842"/>
    </row>
    <row r="21" spans="2:12" ht="18">
      <c r="B21" s="421">
        <f>B20+1</f>
        <v>5</v>
      </c>
      <c r="C21" s="434" t="s">
        <v>211</v>
      </c>
      <c r="G21" s="435"/>
      <c r="H21" s="815" t="s">
        <v>351</v>
      </c>
      <c r="I21" s="436">
        <f>0.5*1*60.4</f>
        <v>30.2</v>
      </c>
      <c r="J21" s="432">
        <f>BQToilet34!J23</f>
        <v>1500000</v>
      </c>
      <c r="K21" s="437">
        <f>I21*J21</f>
        <v>45300000</v>
      </c>
      <c r="L21" s="842"/>
    </row>
    <row r="22" spans="2:12">
      <c r="B22" s="421"/>
      <c r="C22" s="434"/>
      <c r="G22" s="435"/>
      <c r="I22" s="436"/>
      <c r="J22" s="432"/>
      <c r="K22" s="437"/>
      <c r="L22" s="841"/>
    </row>
    <row r="23" spans="2:12">
      <c r="B23" s="421"/>
      <c r="C23" s="434"/>
      <c r="G23" s="883"/>
      <c r="I23" s="436"/>
      <c r="J23" s="439" t="s">
        <v>353</v>
      </c>
      <c r="K23" s="440">
        <f>SUM(K17:K22)</f>
        <v>65056052</v>
      </c>
      <c r="L23" s="843"/>
    </row>
    <row r="24" spans="2:12">
      <c r="B24" s="428" t="s">
        <v>354</v>
      </c>
      <c r="C24" s="429" t="s">
        <v>355</v>
      </c>
      <c r="D24" s="816"/>
      <c r="E24" s="816"/>
      <c r="F24" s="816"/>
      <c r="G24" s="435"/>
      <c r="I24" s="436"/>
      <c r="J24" s="432"/>
      <c r="K24" s="437"/>
      <c r="L24" s="841"/>
    </row>
    <row r="25" spans="2:12" ht="18">
      <c r="B25" s="421">
        <v>1</v>
      </c>
      <c r="C25" s="434" t="s">
        <v>915</v>
      </c>
      <c r="G25" s="435"/>
      <c r="H25" s="815" t="s">
        <v>351</v>
      </c>
      <c r="I25" s="436">
        <f>0.15*0.3*60.4</f>
        <v>2.718</v>
      </c>
      <c r="J25" s="432">
        <f>BQToilet34!J29</f>
        <v>3500000</v>
      </c>
      <c r="K25" s="437">
        <f>I25*J25</f>
        <v>9513000</v>
      </c>
      <c r="L25" s="842"/>
    </row>
    <row r="26" spans="2:12" ht="18">
      <c r="B26" s="421">
        <f>B25+1</f>
        <v>2</v>
      </c>
      <c r="C26" s="434" t="s">
        <v>914</v>
      </c>
      <c r="G26" s="435"/>
      <c r="H26" s="815" t="s">
        <v>351</v>
      </c>
      <c r="I26" s="436">
        <f>0.2*0.2*4*12</f>
        <v>1.9200000000000004</v>
      </c>
      <c r="J26" s="432">
        <f>J25</f>
        <v>3500000</v>
      </c>
      <c r="K26" s="437">
        <f>I26*J26</f>
        <v>6720000.0000000009</v>
      </c>
      <c r="L26" s="842"/>
    </row>
    <row r="27" spans="2:12" ht="18">
      <c r="B27" s="421">
        <f>B26+1</f>
        <v>3</v>
      </c>
      <c r="C27" s="434" t="s">
        <v>913</v>
      </c>
      <c r="G27" s="435"/>
      <c r="H27" s="815" t="s">
        <v>344</v>
      </c>
      <c r="I27" s="436">
        <f>0.15*0.15*3.5*19</f>
        <v>1.4962500000000001</v>
      </c>
      <c r="J27" s="432">
        <f>J26</f>
        <v>3500000</v>
      </c>
      <c r="K27" s="437">
        <f>I27*J27</f>
        <v>5236875</v>
      </c>
      <c r="L27" s="842"/>
    </row>
    <row r="28" spans="2:12">
      <c r="B28" s="421">
        <f>B27+1</f>
        <v>4</v>
      </c>
      <c r="C28" s="434" t="s">
        <v>935</v>
      </c>
      <c r="G28" s="435"/>
      <c r="H28" s="815" t="s">
        <v>32</v>
      </c>
      <c r="I28" s="436">
        <v>2</v>
      </c>
      <c r="J28" s="432">
        <v>500000</v>
      </c>
      <c r="K28" s="437">
        <f>I28*J28</f>
        <v>1000000</v>
      </c>
      <c r="L28" s="842"/>
    </row>
    <row r="29" spans="2:12">
      <c r="B29" s="438"/>
      <c r="C29" s="434"/>
      <c r="G29" s="435"/>
      <c r="I29" s="444"/>
      <c r="J29" s="432"/>
      <c r="K29" s="437"/>
      <c r="L29" s="842"/>
    </row>
    <row r="30" spans="2:12">
      <c r="B30" s="421"/>
      <c r="C30" s="434"/>
      <c r="G30" s="883"/>
      <c r="I30" s="444"/>
      <c r="J30" s="439" t="s">
        <v>358</v>
      </c>
      <c r="K30" s="440">
        <f>SUM(K25:K29)</f>
        <v>22469875</v>
      </c>
      <c r="L30" s="843"/>
    </row>
    <row r="31" spans="2:12">
      <c r="B31" s="428" t="s">
        <v>359</v>
      </c>
      <c r="C31" s="429" t="s">
        <v>360</v>
      </c>
      <c r="D31" s="816"/>
      <c r="E31" s="816"/>
      <c r="F31" s="816"/>
      <c r="G31" s="435"/>
      <c r="I31" s="444"/>
      <c r="J31" s="432"/>
      <c r="K31" s="437"/>
      <c r="L31" s="841"/>
    </row>
    <row r="32" spans="2:12" ht="18">
      <c r="B32" s="421">
        <v>1</v>
      </c>
      <c r="C32" s="434" t="s">
        <v>593</v>
      </c>
      <c r="G32" s="884"/>
      <c r="H32" s="815" t="s">
        <v>342</v>
      </c>
      <c r="I32" s="445">
        <v>82</v>
      </c>
      <c r="J32" s="446">
        <v>130000</v>
      </c>
      <c r="K32" s="437">
        <f>I32*J32</f>
        <v>10660000</v>
      </c>
      <c r="L32" s="842"/>
    </row>
    <row r="33" spans="2:16" ht="18">
      <c r="B33" s="421">
        <f>B32+1</f>
        <v>2</v>
      </c>
      <c r="C33" s="434" t="s">
        <v>912</v>
      </c>
      <c r="G33" s="884"/>
      <c r="H33" s="815" t="s">
        <v>342</v>
      </c>
      <c r="I33" s="445">
        <v>15.22</v>
      </c>
      <c r="J33" s="446">
        <f>'[81] RAB'!N121</f>
        <v>564630</v>
      </c>
      <c r="K33" s="437">
        <f>I33*J33</f>
        <v>8593668.5999999996</v>
      </c>
      <c r="L33" s="842"/>
    </row>
    <row r="34" spans="2:16">
      <c r="B34" s="421"/>
      <c r="C34" s="434"/>
      <c r="G34" s="884"/>
      <c r="I34" s="828"/>
      <c r="J34" s="446"/>
      <c r="K34" s="437"/>
      <c r="L34" s="842"/>
    </row>
    <row r="35" spans="2:16">
      <c r="B35" s="421"/>
      <c r="C35" s="434"/>
      <c r="G35" s="884"/>
      <c r="I35" s="444"/>
      <c r="J35" s="439" t="s">
        <v>361</v>
      </c>
      <c r="K35" s="440">
        <f>SUM(K32:K34)</f>
        <v>19253668.600000001</v>
      </c>
      <c r="L35" s="843"/>
    </row>
    <row r="36" spans="2:16">
      <c r="B36" s="428" t="s">
        <v>362</v>
      </c>
      <c r="C36" s="429" t="s">
        <v>363</v>
      </c>
      <c r="D36" s="816"/>
      <c r="E36" s="816"/>
      <c r="F36" s="816"/>
      <c r="G36" s="435"/>
      <c r="I36" s="444"/>
      <c r="J36" s="432"/>
      <c r="K36" s="437"/>
      <c r="L36" s="841"/>
    </row>
    <row r="37" spans="2:16" ht="18">
      <c r="B37" s="421">
        <v>1</v>
      </c>
      <c r="C37" s="434" t="s">
        <v>364</v>
      </c>
      <c r="G37" s="435"/>
      <c r="H37" s="815" t="s">
        <v>342</v>
      </c>
      <c r="I37" s="447">
        <f>I32*2</f>
        <v>164</v>
      </c>
      <c r="J37" s="432">
        <v>120000</v>
      </c>
      <c r="K37" s="437">
        <f>I37*J37</f>
        <v>19680000</v>
      </c>
      <c r="L37" s="842"/>
    </row>
    <row r="38" spans="2:16" ht="18">
      <c r="B38" s="421">
        <f>B37+1</f>
        <v>2</v>
      </c>
      <c r="C38" s="434" t="s">
        <v>284</v>
      </c>
      <c r="G38" s="435"/>
      <c r="H38" s="815" t="s">
        <v>342</v>
      </c>
      <c r="I38" s="436">
        <v>32</v>
      </c>
      <c r="J38" s="432">
        <v>145000</v>
      </c>
      <c r="K38" s="437">
        <f>I38*J38</f>
        <v>4640000</v>
      </c>
      <c r="L38" s="842"/>
    </row>
    <row r="39" spans="2:16">
      <c r="B39" s="671"/>
      <c r="C39" s="434"/>
      <c r="G39" s="435"/>
      <c r="I39" s="444"/>
      <c r="J39" s="432"/>
      <c r="K39" s="437"/>
      <c r="L39" s="842"/>
    </row>
    <row r="40" spans="2:16">
      <c r="B40" s="421"/>
      <c r="C40" s="434"/>
      <c r="G40" s="884"/>
      <c r="I40" s="444"/>
      <c r="J40" s="439" t="s">
        <v>365</v>
      </c>
      <c r="K40" s="440">
        <f>SUM(K37:K38)</f>
        <v>24320000</v>
      </c>
      <c r="L40" s="843"/>
      <c r="P40" s="818"/>
    </row>
    <row r="41" spans="2:16">
      <c r="B41" s="449" t="s">
        <v>366</v>
      </c>
      <c r="C41" s="429" t="s">
        <v>288</v>
      </c>
      <c r="D41" s="816"/>
      <c r="E41" s="816"/>
      <c r="F41" s="816"/>
      <c r="G41" s="435"/>
      <c r="I41" s="444"/>
      <c r="J41" s="432"/>
      <c r="K41" s="437"/>
      <c r="L41" s="841"/>
    </row>
    <row r="42" spans="2:16" ht="18">
      <c r="B42" s="421">
        <v>1</v>
      </c>
      <c r="C42" s="434" t="s">
        <v>562</v>
      </c>
      <c r="G42" s="435"/>
      <c r="H42" s="815" t="s">
        <v>342</v>
      </c>
      <c r="I42" s="436">
        <f>(6.5*7.35)+(7.35*4.36*2)</f>
        <v>111.86699999999999</v>
      </c>
      <c r="J42" s="432">
        <v>175000</v>
      </c>
      <c r="K42" s="437">
        <f>I42*J42</f>
        <v>19576725</v>
      </c>
      <c r="L42" s="842"/>
    </row>
    <row r="43" spans="2:16" ht="18">
      <c r="B43" s="421">
        <f>B42+1</f>
        <v>2</v>
      </c>
      <c r="C43" s="434" t="s">
        <v>782</v>
      </c>
      <c r="G43" s="435"/>
      <c r="H43" s="815" t="s">
        <v>342</v>
      </c>
      <c r="I43" s="436">
        <f>7.35*4.36*2</f>
        <v>64.091999999999999</v>
      </c>
      <c r="J43" s="432">
        <v>360000</v>
      </c>
      <c r="K43" s="437">
        <f>I43*J43</f>
        <v>23073120</v>
      </c>
      <c r="L43" s="842"/>
    </row>
    <row r="44" spans="2:16" ht="18">
      <c r="B44" s="421">
        <f>B43+1</f>
        <v>3</v>
      </c>
      <c r="C44" s="434" t="s">
        <v>936</v>
      </c>
      <c r="G44" s="435"/>
      <c r="H44" s="815" t="s">
        <v>342</v>
      </c>
      <c r="I44" s="436">
        <f>6.5*7.35</f>
        <v>47.774999999999999</v>
      </c>
      <c r="J44" s="432">
        <v>125000</v>
      </c>
      <c r="K44" s="437">
        <f>I44*J44</f>
        <v>5971875</v>
      </c>
      <c r="L44" s="842"/>
    </row>
    <row r="45" spans="2:16" ht="18">
      <c r="B45" s="421">
        <f>B44+1</f>
        <v>4</v>
      </c>
      <c r="C45" s="434" t="s">
        <v>564</v>
      </c>
      <c r="G45" s="435"/>
      <c r="H45" s="815" t="s">
        <v>344</v>
      </c>
      <c r="I45" s="436">
        <v>7.35</v>
      </c>
      <c r="J45" s="432">
        <v>75000</v>
      </c>
      <c r="K45" s="437">
        <f>I45*J45</f>
        <v>551250</v>
      </c>
      <c r="L45" s="842"/>
    </row>
    <row r="46" spans="2:16">
      <c r="B46" s="421"/>
      <c r="C46" s="434"/>
      <c r="G46" s="435"/>
      <c r="I46" s="436"/>
      <c r="J46" s="432"/>
      <c r="K46" s="437"/>
      <c r="L46" s="842"/>
    </row>
    <row r="47" spans="2:16">
      <c r="B47" s="421"/>
      <c r="C47" s="434"/>
      <c r="G47" s="884"/>
      <c r="I47" s="444"/>
      <c r="J47" s="439" t="s">
        <v>368</v>
      </c>
      <c r="K47" s="440">
        <f>SUM(K42:K45)</f>
        <v>49172970</v>
      </c>
      <c r="L47" s="843"/>
    </row>
    <row r="48" spans="2:16">
      <c r="B48" s="428" t="s">
        <v>369</v>
      </c>
      <c r="C48" s="429" t="s">
        <v>499</v>
      </c>
      <c r="D48" s="816"/>
      <c r="E48" s="816"/>
      <c r="F48" s="816"/>
      <c r="G48" s="435"/>
      <c r="I48" s="444"/>
      <c r="J48" s="432"/>
      <c r="K48" s="437"/>
      <c r="L48" s="841"/>
    </row>
    <row r="49" spans="1:12" ht="18">
      <c r="B49" s="438">
        <v>1</v>
      </c>
      <c r="C49" s="434" t="s">
        <v>35</v>
      </c>
      <c r="G49" s="435"/>
      <c r="H49" s="815" t="s">
        <v>342</v>
      </c>
      <c r="I49" s="436">
        <f>36*2</f>
        <v>72</v>
      </c>
      <c r="J49" s="432">
        <f>'[81] RAB'!G226</f>
        <v>147200</v>
      </c>
      <c r="K49" s="437">
        <f>I49*J49</f>
        <v>10598400</v>
      </c>
      <c r="L49" s="842"/>
    </row>
    <row r="50" spans="1:12">
      <c r="B50" s="438"/>
      <c r="C50" s="434"/>
      <c r="G50" s="435"/>
      <c r="I50" s="436"/>
      <c r="J50" s="432"/>
      <c r="K50" s="437"/>
      <c r="L50" s="842"/>
    </row>
    <row r="51" spans="1:12">
      <c r="B51" s="421"/>
      <c r="C51" s="434"/>
      <c r="G51" s="884"/>
      <c r="I51" s="444"/>
      <c r="J51" s="439" t="s">
        <v>371</v>
      </c>
      <c r="K51" s="440">
        <f>SUM(K49:K49)</f>
        <v>10598400</v>
      </c>
      <c r="L51" s="843"/>
    </row>
    <row r="52" spans="1:12">
      <c r="B52" s="449" t="s">
        <v>372</v>
      </c>
      <c r="C52" s="429" t="s">
        <v>373</v>
      </c>
      <c r="D52" s="816"/>
      <c r="E52" s="816"/>
      <c r="F52" s="816"/>
      <c r="G52" s="435"/>
      <c r="I52" s="444"/>
      <c r="J52" s="432"/>
      <c r="K52" s="437"/>
      <c r="L52" s="841"/>
    </row>
    <row r="53" spans="1:12" ht="18">
      <c r="B53" s="421">
        <v>1</v>
      </c>
      <c r="C53" s="434" t="s">
        <v>374</v>
      </c>
      <c r="G53" s="435"/>
      <c r="H53" s="815" t="s">
        <v>342</v>
      </c>
      <c r="I53" s="436">
        <v>72</v>
      </c>
      <c r="J53" s="432">
        <v>10000</v>
      </c>
      <c r="K53" s="437">
        <f>I53*J53</f>
        <v>720000</v>
      </c>
      <c r="L53" s="842"/>
    </row>
    <row r="54" spans="1:12" ht="18">
      <c r="B54" s="421">
        <v>2</v>
      </c>
      <c r="C54" s="434" t="s">
        <v>375</v>
      </c>
      <c r="G54" s="435"/>
      <c r="H54" s="815" t="s">
        <v>351</v>
      </c>
      <c r="I54" s="436">
        <f>I53*0.03</f>
        <v>2.16</v>
      </c>
      <c r="J54" s="432">
        <f>J18</f>
        <v>310000</v>
      </c>
      <c r="K54" s="437">
        <f>I54*J54</f>
        <v>669600</v>
      </c>
      <c r="L54" s="842"/>
    </row>
    <row r="55" spans="1:12" ht="18">
      <c r="B55" s="438">
        <v>3</v>
      </c>
      <c r="C55" s="450" t="s">
        <v>569</v>
      </c>
      <c r="D55" s="820"/>
      <c r="E55" s="820"/>
      <c r="F55" s="820"/>
      <c r="G55" s="435"/>
      <c r="H55" s="815" t="s">
        <v>351</v>
      </c>
      <c r="I55" s="436">
        <v>36</v>
      </c>
      <c r="J55" s="432">
        <f>BQTungguBis!J40</f>
        <v>700000</v>
      </c>
      <c r="K55" s="437">
        <f>I55*J55</f>
        <v>25200000</v>
      </c>
      <c r="L55" s="842"/>
    </row>
    <row r="56" spans="1:12" ht="18">
      <c r="B56" s="421">
        <v>4</v>
      </c>
      <c r="C56" s="450" t="s">
        <v>816</v>
      </c>
      <c r="G56" s="435"/>
      <c r="H56" s="815" t="s">
        <v>342</v>
      </c>
      <c r="I56" s="436">
        <v>15</v>
      </c>
      <c r="J56" s="432">
        <v>160000</v>
      </c>
      <c r="K56" s="437">
        <f>I56*J56</f>
        <v>2400000</v>
      </c>
      <c r="L56" s="841"/>
    </row>
    <row r="57" spans="1:12" ht="18">
      <c r="B57" s="421">
        <v>4</v>
      </c>
      <c r="C57" s="450" t="s">
        <v>937</v>
      </c>
      <c r="G57" s="435"/>
      <c r="H57" s="815" t="s">
        <v>342</v>
      </c>
      <c r="I57" s="436">
        <v>60</v>
      </c>
      <c r="J57" s="432">
        <v>180000</v>
      </c>
      <c r="K57" s="437">
        <f>I57*J57</f>
        <v>10800000</v>
      </c>
      <c r="L57" s="842"/>
    </row>
    <row r="58" spans="1:12">
      <c r="A58" s="998"/>
      <c r="B58" s="421"/>
      <c r="C58" s="434"/>
      <c r="G58" s="435"/>
      <c r="I58" s="444"/>
      <c r="J58" s="432"/>
      <c r="K58" s="437"/>
      <c r="L58" s="842"/>
    </row>
    <row r="59" spans="1:12">
      <c r="B59" s="421"/>
      <c r="C59" s="434"/>
      <c r="G59" s="884"/>
      <c r="I59" s="444"/>
      <c r="J59" s="439" t="s">
        <v>377</v>
      </c>
      <c r="K59" s="440">
        <f>SUM(K53:K58)</f>
        <v>39789600</v>
      </c>
      <c r="L59" s="843"/>
    </row>
    <row r="60" spans="1:12">
      <c r="A60" s="820"/>
      <c r="B60" s="428" t="s">
        <v>378</v>
      </c>
      <c r="C60" s="429" t="s">
        <v>807</v>
      </c>
      <c r="D60" s="816"/>
      <c r="E60" s="816"/>
      <c r="F60" s="816"/>
      <c r="G60" s="435"/>
      <c r="I60" s="444"/>
      <c r="J60" s="432"/>
      <c r="K60" s="437"/>
      <c r="L60" s="841"/>
    </row>
    <row r="61" spans="1:12">
      <c r="B61" s="421">
        <v>1</v>
      </c>
      <c r="C61" s="434" t="s">
        <v>938</v>
      </c>
      <c r="G61" s="435"/>
      <c r="H61" s="815" t="s">
        <v>392</v>
      </c>
      <c r="I61" s="436">
        <v>7</v>
      </c>
      <c r="J61" s="432">
        <v>750000</v>
      </c>
      <c r="K61" s="437">
        <f t="shared" ref="K61:K66" si="0">I61*J61</f>
        <v>5250000</v>
      </c>
      <c r="L61" s="842"/>
    </row>
    <row r="62" spans="1:12">
      <c r="B62" s="421">
        <f>B61+1</f>
        <v>2</v>
      </c>
      <c r="C62" s="434" t="s">
        <v>939</v>
      </c>
      <c r="G62" s="435"/>
      <c r="H62" s="815" t="s">
        <v>392</v>
      </c>
      <c r="I62" s="436">
        <v>1</v>
      </c>
      <c r="J62" s="432">
        <v>4200000</v>
      </c>
      <c r="K62" s="437">
        <f t="shared" si="0"/>
        <v>4200000</v>
      </c>
      <c r="L62" s="842"/>
    </row>
    <row r="63" spans="1:12">
      <c r="B63" s="421">
        <f t="shared" ref="B63:B66" si="1">B62+1</f>
        <v>3</v>
      </c>
      <c r="C63" s="434" t="s">
        <v>940</v>
      </c>
      <c r="G63" s="435"/>
      <c r="H63" s="815" t="s">
        <v>392</v>
      </c>
      <c r="I63" s="436">
        <v>1</v>
      </c>
      <c r="J63" s="432">
        <v>3200000</v>
      </c>
      <c r="K63" s="437">
        <f t="shared" si="0"/>
        <v>3200000</v>
      </c>
      <c r="L63" s="842"/>
    </row>
    <row r="64" spans="1:12">
      <c r="B64" s="421">
        <f t="shared" si="1"/>
        <v>4</v>
      </c>
      <c r="C64" s="434" t="s">
        <v>941</v>
      </c>
      <c r="G64" s="435"/>
      <c r="H64" s="815" t="s">
        <v>392</v>
      </c>
      <c r="I64" s="436">
        <v>1</v>
      </c>
      <c r="J64" s="432">
        <v>6500000</v>
      </c>
      <c r="K64" s="437">
        <f t="shared" si="0"/>
        <v>6500000</v>
      </c>
      <c r="L64" s="842"/>
    </row>
    <row r="65" spans="1:17">
      <c r="B65" s="421">
        <f t="shared" si="1"/>
        <v>5</v>
      </c>
      <c r="C65" s="434" t="s">
        <v>786</v>
      </c>
      <c r="G65" s="435"/>
      <c r="H65" s="815" t="s">
        <v>392</v>
      </c>
      <c r="I65" s="436">
        <v>4</v>
      </c>
      <c r="J65" s="432">
        <v>4200000</v>
      </c>
      <c r="K65" s="437">
        <f t="shared" si="0"/>
        <v>16800000</v>
      </c>
      <c r="L65" s="842"/>
    </row>
    <row r="66" spans="1:17">
      <c r="A66" s="820"/>
      <c r="B66" s="421">
        <f t="shared" si="1"/>
        <v>6</v>
      </c>
      <c r="C66" s="434" t="s">
        <v>926</v>
      </c>
      <c r="G66" s="435"/>
      <c r="H66" s="815" t="s">
        <v>32</v>
      </c>
      <c r="I66" s="436">
        <v>4</v>
      </c>
      <c r="J66" s="432">
        <v>3200000</v>
      </c>
      <c r="K66" s="437">
        <f t="shared" si="0"/>
        <v>12800000</v>
      </c>
      <c r="L66" s="842"/>
    </row>
    <row r="67" spans="1:17">
      <c r="B67" s="421"/>
      <c r="C67" s="434"/>
      <c r="G67" s="435"/>
      <c r="I67" s="444"/>
      <c r="J67" s="432"/>
      <c r="K67" s="437"/>
      <c r="L67" s="842"/>
    </row>
    <row r="68" spans="1:17">
      <c r="B68" s="421"/>
      <c r="C68" s="434"/>
      <c r="G68" s="884"/>
      <c r="I68" s="444"/>
      <c r="J68" s="439" t="s">
        <v>383</v>
      </c>
      <c r="K68" s="440">
        <f>SUM(K61:K66)</f>
        <v>48750000</v>
      </c>
      <c r="L68" s="843"/>
    </row>
    <row r="69" spans="1:17">
      <c r="B69" s="428" t="s">
        <v>384</v>
      </c>
      <c r="C69" s="429" t="s">
        <v>385</v>
      </c>
      <c r="D69" s="816"/>
      <c r="E69" s="816"/>
      <c r="F69" s="816"/>
      <c r="G69" s="435"/>
      <c r="I69" s="444"/>
      <c r="J69" s="432"/>
      <c r="K69" s="437"/>
      <c r="L69" s="841"/>
    </row>
    <row r="70" spans="1:17" ht="18">
      <c r="B70" s="421">
        <v>1</v>
      </c>
      <c r="C70" s="434" t="s">
        <v>386</v>
      </c>
      <c r="G70" s="435"/>
      <c r="H70" s="815" t="s">
        <v>342</v>
      </c>
      <c r="I70" s="436">
        <f>I37*2</f>
        <v>328</v>
      </c>
      <c r="J70" s="432">
        <v>38000</v>
      </c>
      <c r="K70" s="437">
        <f>I70*J70</f>
        <v>12464000</v>
      </c>
      <c r="L70" s="842"/>
    </row>
    <row r="71" spans="1:17" ht="18">
      <c r="B71" s="421">
        <v>2</v>
      </c>
      <c r="C71" s="434" t="s">
        <v>808</v>
      </c>
      <c r="G71" s="435"/>
      <c r="H71" s="815" t="s">
        <v>342</v>
      </c>
      <c r="I71" s="436">
        <f>I49</f>
        <v>72</v>
      </c>
      <c r="J71" s="432">
        <f>J70</f>
        <v>38000</v>
      </c>
      <c r="K71" s="437">
        <f>I71*J71</f>
        <v>2736000</v>
      </c>
      <c r="L71" s="842"/>
    </row>
    <row r="72" spans="1:17">
      <c r="B72" s="421"/>
      <c r="C72" s="434"/>
      <c r="G72" s="435"/>
      <c r="I72" s="444"/>
      <c r="J72" s="432"/>
      <c r="K72" s="437"/>
      <c r="L72" s="842"/>
    </row>
    <row r="73" spans="1:17">
      <c r="B73" s="421"/>
      <c r="C73" s="434"/>
      <c r="G73" s="884"/>
      <c r="I73" s="444"/>
      <c r="J73" s="439" t="s">
        <v>388</v>
      </c>
      <c r="K73" s="440">
        <f>SUM(K70:K72)</f>
        <v>15200000</v>
      </c>
      <c r="L73" s="843"/>
      <c r="M73" s="818"/>
      <c r="N73" s="818"/>
      <c r="Q73" s="818"/>
    </row>
    <row r="74" spans="1:17">
      <c r="A74" s="820"/>
      <c r="B74" s="428" t="s">
        <v>389</v>
      </c>
      <c r="C74" s="429" t="s">
        <v>929</v>
      </c>
      <c r="D74" s="816"/>
      <c r="E74" s="816"/>
      <c r="F74" s="816"/>
      <c r="G74" s="435"/>
      <c r="I74" s="444"/>
      <c r="J74" s="432"/>
      <c r="K74" s="437"/>
      <c r="L74" s="841"/>
    </row>
    <row r="75" spans="1:17">
      <c r="B75" s="421"/>
      <c r="C75" s="434" t="s">
        <v>1004</v>
      </c>
      <c r="D75" s="415"/>
      <c r="E75" s="415"/>
      <c r="F75" s="415"/>
      <c r="G75" s="435"/>
      <c r="H75" s="272"/>
      <c r="I75" s="436"/>
      <c r="J75" s="432"/>
      <c r="K75" s="437"/>
      <c r="L75" s="842"/>
    </row>
    <row r="76" spans="1:17">
      <c r="B76" s="421"/>
      <c r="C76" s="434"/>
      <c r="D76" s="415"/>
      <c r="E76" s="415"/>
      <c r="F76" s="415"/>
      <c r="G76" s="435"/>
      <c r="H76" s="272"/>
      <c r="I76" s="436"/>
      <c r="J76" s="432"/>
      <c r="K76" s="437"/>
      <c r="L76" s="842"/>
    </row>
    <row r="77" spans="1:17">
      <c r="B77" s="421"/>
      <c r="C77" s="434"/>
      <c r="D77" s="415"/>
      <c r="E77" s="415"/>
      <c r="F77" s="415"/>
      <c r="G77" s="435"/>
      <c r="H77" s="272"/>
      <c r="I77" s="436"/>
      <c r="J77" s="432"/>
      <c r="K77" s="437"/>
      <c r="L77" s="842"/>
    </row>
    <row r="78" spans="1:17">
      <c r="B78" s="421"/>
      <c r="C78" s="434"/>
      <c r="G78" s="435"/>
      <c r="I78" s="444"/>
      <c r="J78" s="432"/>
      <c r="K78" s="437"/>
      <c r="L78" s="842"/>
    </row>
    <row r="79" spans="1:17">
      <c r="B79" s="421"/>
      <c r="C79" s="434"/>
      <c r="G79" s="884"/>
      <c r="I79" s="444"/>
      <c r="J79" s="439" t="s">
        <v>394</v>
      </c>
      <c r="K79" s="440">
        <f>SUM(K75:K78)</f>
        <v>0</v>
      </c>
      <c r="L79" s="842"/>
    </row>
    <row r="80" spans="1:17">
      <c r="B80" s="428" t="s">
        <v>395</v>
      </c>
      <c r="C80" s="429" t="s">
        <v>396</v>
      </c>
      <c r="D80" s="816"/>
      <c r="E80" s="816"/>
      <c r="F80" s="816"/>
      <c r="G80" s="435"/>
      <c r="I80" s="444"/>
      <c r="J80" s="432"/>
      <c r="K80" s="437"/>
      <c r="L80" s="842"/>
    </row>
    <row r="81" spans="2:12">
      <c r="B81" s="421"/>
      <c r="C81" s="434" t="s">
        <v>988</v>
      </c>
      <c r="D81" s="415"/>
      <c r="E81" s="415"/>
      <c r="F81" s="415"/>
      <c r="G81" s="435"/>
      <c r="H81" s="272"/>
      <c r="I81" s="436"/>
      <c r="J81" s="432"/>
      <c r="K81" s="437"/>
      <c r="L81" s="842"/>
    </row>
    <row r="82" spans="2:12">
      <c r="B82" s="421"/>
      <c r="C82" s="434"/>
      <c r="D82" s="415"/>
      <c r="E82" s="415"/>
      <c r="F82" s="415"/>
      <c r="G82" s="435"/>
      <c r="H82" s="272"/>
      <c r="I82" s="436"/>
      <c r="J82" s="432"/>
      <c r="K82" s="437"/>
      <c r="L82" s="842"/>
    </row>
    <row r="83" spans="2:12">
      <c r="B83" s="421"/>
      <c r="C83" s="434"/>
      <c r="D83" s="415"/>
      <c r="E83" s="415"/>
      <c r="F83" s="415"/>
      <c r="G83" s="435"/>
      <c r="H83" s="272"/>
      <c r="I83" s="436"/>
      <c r="J83" s="432"/>
      <c r="K83" s="437"/>
      <c r="L83" s="842"/>
    </row>
    <row r="84" spans="2:12">
      <c r="B84" s="421"/>
      <c r="C84" s="434"/>
      <c r="D84" s="415"/>
      <c r="E84" s="415"/>
      <c r="F84" s="415"/>
      <c r="G84" s="435"/>
      <c r="H84" s="272"/>
      <c r="I84" s="436"/>
      <c r="J84" s="432"/>
      <c r="K84" s="437"/>
      <c r="L84" s="842"/>
    </row>
    <row r="85" spans="2:12">
      <c r="B85" s="421"/>
      <c r="C85" s="434"/>
      <c r="D85" s="415"/>
      <c r="E85" s="415"/>
      <c r="F85" s="415"/>
      <c r="G85" s="435"/>
      <c r="H85" s="272"/>
      <c r="I85" s="436"/>
      <c r="J85" s="432"/>
      <c r="K85" s="437"/>
      <c r="L85" s="842"/>
    </row>
    <row r="86" spans="2:12">
      <c r="B86" s="421"/>
      <c r="C86" s="434"/>
      <c r="D86" s="415"/>
      <c r="E86" s="415"/>
      <c r="F86" s="415"/>
      <c r="G86" s="435"/>
      <c r="H86" s="272"/>
      <c r="I86" s="436"/>
      <c r="J86" s="432"/>
      <c r="K86" s="437"/>
      <c r="L86" s="842"/>
    </row>
    <row r="87" spans="2:12">
      <c r="B87" s="421"/>
      <c r="C87" s="434"/>
      <c r="D87" s="415"/>
      <c r="E87" s="415"/>
      <c r="F87" s="415"/>
      <c r="G87" s="435"/>
      <c r="H87" s="272"/>
      <c r="I87" s="436"/>
      <c r="J87" s="432"/>
      <c r="K87" s="437"/>
      <c r="L87" s="842"/>
    </row>
    <row r="88" spans="2:12">
      <c r="B88" s="421"/>
      <c r="C88" s="434"/>
      <c r="G88" s="435"/>
      <c r="I88" s="444"/>
      <c r="J88" s="439" t="s">
        <v>500</v>
      </c>
      <c r="K88" s="440">
        <f>SUM(K81:K86)</f>
        <v>0</v>
      </c>
      <c r="L88" s="842"/>
    </row>
    <row r="89" spans="2:12">
      <c r="B89" s="428" t="s">
        <v>404</v>
      </c>
      <c r="C89" s="429" t="s">
        <v>906</v>
      </c>
      <c r="D89" s="816"/>
      <c r="E89" s="816"/>
      <c r="F89" s="816"/>
      <c r="G89" s="435"/>
      <c r="I89" s="444"/>
      <c r="J89" s="432"/>
      <c r="K89" s="437"/>
      <c r="L89" s="842"/>
    </row>
    <row r="90" spans="2:12">
      <c r="B90" s="421">
        <v>1</v>
      </c>
      <c r="C90" s="434" t="s">
        <v>406</v>
      </c>
      <c r="D90" s="415"/>
      <c r="E90" s="415"/>
      <c r="F90" s="415"/>
      <c r="G90" s="435"/>
      <c r="H90" s="272" t="s">
        <v>380</v>
      </c>
      <c r="I90" s="436">
        <v>4</v>
      </c>
      <c r="J90" s="432">
        <v>1600000</v>
      </c>
      <c r="K90" s="437">
        <f>I90*J90</f>
        <v>6400000</v>
      </c>
      <c r="L90" s="842"/>
    </row>
    <row r="91" spans="2:12">
      <c r="B91" s="421">
        <f>B90+1</f>
        <v>2</v>
      </c>
      <c r="C91" s="434" t="s">
        <v>407</v>
      </c>
      <c r="D91" s="415"/>
      <c r="E91" s="415"/>
      <c r="F91" s="415"/>
      <c r="G91" s="435"/>
      <c r="H91" s="272" t="s">
        <v>380</v>
      </c>
      <c r="I91" s="436">
        <v>4</v>
      </c>
      <c r="J91" s="432">
        <v>1200000</v>
      </c>
      <c r="K91" s="437">
        <f>I91*J91</f>
        <v>4800000</v>
      </c>
      <c r="L91" s="842"/>
    </row>
    <row r="92" spans="2:12">
      <c r="B92" s="421">
        <f t="shared" ref="B92:B94" si="2">B91+1</f>
        <v>3</v>
      </c>
      <c r="C92" s="434" t="s">
        <v>408</v>
      </c>
      <c r="D92" s="415"/>
      <c r="E92" s="415"/>
      <c r="F92" s="415"/>
      <c r="G92" s="435"/>
      <c r="H92" s="272" t="s">
        <v>380</v>
      </c>
      <c r="I92" s="436">
        <v>4</v>
      </c>
      <c r="J92" s="432">
        <v>300000</v>
      </c>
      <c r="K92" s="437">
        <f>I92*J92</f>
        <v>1200000</v>
      </c>
      <c r="L92" s="842"/>
    </row>
    <row r="93" spans="2:12">
      <c r="B93" s="421">
        <f t="shared" si="2"/>
        <v>4</v>
      </c>
      <c r="C93" s="434" t="s">
        <v>911</v>
      </c>
      <c r="D93" s="415"/>
      <c r="E93" s="415"/>
      <c r="F93" s="415"/>
      <c r="G93" s="435"/>
      <c r="H93" s="272" t="s">
        <v>380</v>
      </c>
      <c r="I93" s="436">
        <v>2</v>
      </c>
      <c r="J93" s="432">
        <v>2400000</v>
      </c>
      <c r="K93" s="437">
        <f>I93*J93</f>
        <v>4800000</v>
      </c>
      <c r="L93" s="842"/>
    </row>
    <row r="94" spans="2:12">
      <c r="B94" s="421">
        <f t="shared" si="2"/>
        <v>5</v>
      </c>
      <c r="C94" s="434" t="s">
        <v>409</v>
      </c>
      <c r="D94" s="415"/>
      <c r="E94" s="415"/>
      <c r="F94" s="415"/>
      <c r="G94" s="435"/>
      <c r="H94" s="272" t="s">
        <v>380</v>
      </c>
      <c r="I94" s="436">
        <v>4</v>
      </c>
      <c r="J94" s="432">
        <v>175000</v>
      </c>
      <c r="K94" s="437">
        <f>I94*J94</f>
        <v>700000</v>
      </c>
      <c r="L94" s="842"/>
    </row>
    <row r="95" spans="2:12">
      <c r="B95" s="421"/>
      <c r="C95" s="434"/>
      <c r="G95" s="435"/>
      <c r="I95" s="436"/>
      <c r="J95" s="432"/>
      <c r="K95" s="437"/>
      <c r="L95" s="842"/>
    </row>
    <row r="96" spans="2:12">
      <c r="B96" s="421"/>
      <c r="C96" s="434"/>
      <c r="G96" s="884"/>
      <c r="I96" s="436"/>
      <c r="J96" s="439" t="s">
        <v>501</v>
      </c>
      <c r="K96" s="440">
        <f>SUM(K90:K94)</f>
        <v>17900000</v>
      </c>
      <c r="L96" s="842"/>
    </row>
    <row r="97" spans="2:12" ht="16.5" thickBot="1">
      <c r="B97" s="459"/>
      <c r="C97" s="460"/>
      <c r="D97" s="461"/>
      <c r="E97" s="461"/>
      <c r="F97" s="461"/>
      <c r="G97" s="886"/>
      <c r="H97" s="463"/>
      <c r="I97" s="464"/>
      <c r="J97" s="465"/>
      <c r="K97" s="466"/>
      <c r="L97" s="842"/>
    </row>
    <row r="98" spans="2:12">
      <c r="B98" s="421"/>
      <c r="G98" s="851"/>
      <c r="I98" s="968"/>
      <c r="J98" s="974"/>
      <c r="K98" s="440"/>
      <c r="L98" s="842"/>
    </row>
    <row r="99" spans="2:12">
      <c r="B99" s="421"/>
      <c r="G99" s="815"/>
      <c r="I99" s="968"/>
      <c r="J99" s="974"/>
      <c r="K99" s="467">
        <f>SUM(K13:K96)/2</f>
        <v>313310565.60000002</v>
      </c>
      <c r="L99" s="848"/>
    </row>
    <row r="100" spans="2:12" ht="16.5" thickBot="1">
      <c r="B100" s="468"/>
      <c r="C100" s="470"/>
      <c r="D100" s="470"/>
      <c r="E100" s="470"/>
      <c r="F100" s="470"/>
      <c r="G100" s="470"/>
      <c r="H100" s="472"/>
      <c r="I100" s="969"/>
      <c r="J100" s="971"/>
      <c r="K100" s="475"/>
      <c r="L100" s="841"/>
    </row>
    <row r="101" spans="2:12" ht="16.5" thickTop="1">
      <c r="I101" s="476"/>
      <c r="J101" s="477"/>
      <c r="K101" s="479"/>
      <c r="L101" s="841"/>
    </row>
    <row r="102" spans="2:12">
      <c r="I102" s="476"/>
      <c r="J102" s="477"/>
      <c r="K102" s="478"/>
      <c r="L102" s="841"/>
    </row>
    <row r="103" spans="2:12">
      <c r="I103" s="476"/>
      <c r="J103" s="477"/>
      <c r="K103" s="479"/>
      <c r="L103" s="841"/>
    </row>
    <row r="104" spans="2:12">
      <c r="I104" s="476"/>
      <c r="J104" s="477"/>
      <c r="K104" s="478"/>
      <c r="L104" s="841"/>
    </row>
    <row r="105" spans="2:12">
      <c r="I105" s="476"/>
      <c r="J105" s="477"/>
      <c r="K105" s="479"/>
      <c r="L105" s="841"/>
    </row>
    <row r="106" spans="2:12">
      <c r="I106" s="476"/>
      <c r="J106" s="477"/>
      <c r="K106" s="479"/>
      <c r="L106" s="841"/>
    </row>
    <row r="107" spans="2:12">
      <c r="I107" s="476"/>
      <c r="J107" s="477"/>
      <c r="K107" s="479"/>
      <c r="L107" s="841"/>
    </row>
    <row r="108" spans="2:12">
      <c r="I108" s="476"/>
      <c r="J108" s="477"/>
      <c r="K108" s="479"/>
      <c r="L108" s="841"/>
    </row>
    <row r="109" spans="2:12">
      <c r="I109" s="476"/>
      <c r="J109" s="477"/>
      <c r="K109" s="479"/>
      <c r="L109" s="841"/>
    </row>
    <row r="110" spans="2:12">
      <c r="I110" s="476"/>
      <c r="J110" s="477"/>
      <c r="K110" s="479"/>
      <c r="L110" s="841"/>
    </row>
    <row r="111" spans="2:12">
      <c r="I111" s="476"/>
      <c r="J111" s="477"/>
      <c r="K111" s="479"/>
      <c r="L111" s="841"/>
    </row>
    <row r="112" spans="2:12">
      <c r="I112" s="476"/>
      <c r="J112" s="477"/>
      <c r="K112" s="479"/>
      <c r="L112" s="841"/>
    </row>
    <row r="113" spans="8:12">
      <c r="I113" s="476"/>
      <c r="J113" s="477"/>
      <c r="K113" s="479"/>
      <c r="L113" s="841"/>
    </row>
    <row r="115" spans="8:12">
      <c r="H115" s="851"/>
      <c r="K115" s="480"/>
    </row>
    <row r="116" spans="8:12">
      <c r="H116" s="851"/>
      <c r="K116" s="818"/>
    </row>
    <row r="117" spans="8:12">
      <c r="K117" s="481"/>
    </row>
    <row r="118" spans="8:12">
      <c r="H118" s="851"/>
    </row>
    <row r="123" spans="8:12">
      <c r="H123" s="853"/>
    </row>
  </sheetData>
  <mergeCells count="2">
    <mergeCell ref="I8:K8"/>
    <mergeCell ref="L9:L10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018800-10D5-46F3-B7AE-B11254EC85EC}">
  <sheetPr>
    <tabColor rgb="FFFFFF00"/>
    <pageSetUpPr fitToPage="1"/>
  </sheetPr>
  <dimension ref="A2:L30"/>
  <sheetViews>
    <sheetView workbookViewId="0">
      <selection activeCell="F35" sqref="F35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872" t="s">
        <v>0</v>
      </c>
      <c r="C3" s="41"/>
      <c r="E3" s="43"/>
      <c r="F3" s="44"/>
    </row>
    <row r="4" spans="1:12">
      <c r="B4" s="872" t="s">
        <v>955</v>
      </c>
      <c r="C4" s="41"/>
      <c r="E4" s="43"/>
      <c r="F4" s="44"/>
    </row>
    <row r="5" spans="1:12">
      <c r="B5" s="873" t="s">
        <v>1</v>
      </c>
      <c r="C5" s="41"/>
      <c r="E5" s="43"/>
      <c r="F5" s="44"/>
    </row>
    <row r="6" spans="1:12">
      <c r="B6" s="872" t="s">
        <v>2</v>
      </c>
      <c r="C6" s="41"/>
      <c r="E6" s="43"/>
      <c r="F6" s="44"/>
    </row>
    <row r="7" spans="1:12">
      <c r="B7" s="873" t="s">
        <v>3</v>
      </c>
      <c r="C7" s="41"/>
      <c r="E7" s="43"/>
      <c r="F7" s="44"/>
    </row>
    <row r="8" spans="1:12" ht="16.5" thickBot="1">
      <c r="F8" s="1136" t="s">
        <v>950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Ruang Tunggu Bis Blok A</v>
      </c>
      <c r="D13" s="58"/>
      <c r="E13" s="58"/>
      <c r="F13" s="58"/>
      <c r="G13" s="58"/>
      <c r="H13" s="59"/>
    </row>
    <row r="14" spans="1:12" s="875" customFormat="1">
      <c r="A14" s="39"/>
      <c r="B14" s="55" t="s">
        <v>11</v>
      </c>
      <c r="C14" s="56" t="s">
        <v>340</v>
      </c>
      <c r="D14" s="58"/>
      <c r="E14" s="58"/>
      <c r="F14" s="58"/>
      <c r="G14" s="58"/>
      <c r="H14" s="874">
        <f>BQTungguBis!K15</f>
        <v>560000</v>
      </c>
      <c r="I14" s="39"/>
      <c r="J14" s="39"/>
      <c r="K14" s="39"/>
      <c r="L14" s="39"/>
    </row>
    <row r="15" spans="1:12" s="875" customFormat="1">
      <c r="A15" s="39"/>
      <c r="B15" s="55" t="s">
        <v>12</v>
      </c>
      <c r="C15" s="56" t="s">
        <v>191</v>
      </c>
      <c r="D15" s="58"/>
      <c r="E15" s="58"/>
      <c r="F15" s="58"/>
      <c r="G15" s="58"/>
      <c r="H15" s="874">
        <f>BQTungguBis!K21</f>
        <v>13942100</v>
      </c>
      <c r="I15" s="39"/>
      <c r="J15" s="39"/>
      <c r="K15" s="39"/>
      <c r="L15" s="39"/>
    </row>
    <row r="16" spans="1:12" s="875" customFormat="1">
      <c r="A16" s="39"/>
      <c r="B16" s="55" t="s">
        <v>16</v>
      </c>
      <c r="C16" s="56" t="s">
        <v>805</v>
      </c>
      <c r="D16" s="58"/>
      <c r="E16" s="58"/>
      <c r="F16" s="58"/>
      <c r="G16" s="58"/>
      <c r="H16" s="874">
        <f>BQTungguBis!K26</f>
        <v>4742700</v>
      </c>
      <c r="I16" s="39"/>
      <c r="J16" s="39"/>
      <c r="K16" s="39"/>
      <c r="L16" s="39"/>
    </row>
    <row r="17" spans="1:12" s="875" customFormat="1">
      <c r="A17" s="39"/>
      <c r="B17" s="55" t="s">
        <v>19</v>
      </c>
      <c r="C17" s="56" t="str">
        <f>BQTungguBis!C27</f>
        <v>PEKERJAAN DINDING</v>
      </c>
      <c r="D17" s="58"/>
      <c r="E17" s="58"/>
      <c r="F17" s="58"/>
      <c r="G17" s="58"/>
      <c r="H17" s="874">
        <f>BQTungguBis!K31</f>
        <v>13492500</v>
      </c>
      <c r="I17" s="39"/>
      <c r="J17" s="39"/>
      <c r="K17" s="39"/>
      <c r="L17" s="39"/>
    </row>
    <row r="18" spans="1:12" s="875" customFormat="1">
      <c r="A18" s="39"/>
      <c r="B18" s="55" t="s">
        <v>22</v>
      </c>
      <c r="C18" s="56" t="str">
        <f>BQTungguBis!C32</f>
        <v>PEKERJAAN ATAP</v>
      </c>
      <c r="D18" s="58"/>
      <c r="E18" s="58"/>
      <c r="F18" s="58"/>
      <c r="G18" s="58"/>
      <c r="H18" s="874">
        <f>BQTungguBis!K36</f>
        <v>29960000</v>
      </c>
      <c r="I18" s="39"/>
      <c r="J18" s="39"/>
      <c r="K18" s="39"/>
      <c r="L18" s="39"/>
    </row>
    <row r="19" spans="1:12" s="875" customFormat="1">
      <c r="A19" s="39"/>
      <c r="B19" s="55" t="s">
        <v>25</v>
      </c>
      <c r="C19" s="56" t="str">
        <f>BQTungguBis!C37</f>
        <v>PEKERJAAN LANTAI</v>
      </c>
      <c r="D19" s="58"/>
      <c r="E19" s="58"/>
      <c r="F19" s="58"/>
      <c r="G19" s="58"/>
      <c r="H19" s="874">
        <f>BQTungguBis!K43</f>
        <v>9792000</v>
      </c>
      <c r="I19" s="39"/>
      <c r="J19" s="39"/>
      <c r="K19" s="39"/>
      <c r="L19" s="39"/>
    </row>
    <row r="20" spans="1:12" s="875" customFormat="1">
      <c r="A20" s="39"/>
      <c r="B20" s="55"/>
      <c r="C20" s="56"/>
      <c r="D20" s="58"/>
      <c r="E20" s="58"/>
      <c r="F20" s="58"/>
      <c r="G20" s="58"/>
      <c r="H20" s="874"/>
      <c r="I20" s="39"/>
      <c r="J20" s="39"/>
      <c r="K20" s="39"/>
      <c r="L20" s="39"/>
    </row>
    <row r="21" spans="1:12" s="875" customFormat="1">
      <c r="A21" s="39"/>
      <c r="B21" s="55"/>
      <c r="C21" s="56"/>
      <c r="D21" s="58"/>
      <c r="E21" s="58"/>
      <c r="F21" s="58"/>
      <c r="G21" s="58"/>
      <c r="H21" s="874"/>
      <c r="I21" s="39"/>
      <c r="J21" s="39"/>
      <c r="K21" s="39"/>
      <c r="L21" s="39"/>
    </row>
    <row r="22" spans="1:12" s="875" customFormat="1">
      <c r="A22" s="39"/>
      <c r="B22" s="55"/>
      <c r="C22" s="56"/>
      <c r="D22" s="58"/>
      <c r="E22" s="58"/>
      <c r="F22" s="58"/>
      <c r="G22" s="58"/>
      <c r="H22" s="874"/>
      <c r="I22" s="39"/>
      <c r="J22" s="39"/>
      <c r="K22" s="39"/>
      <c r="L22" s="39"/>
    </row>
    <row r="23" spans="1:12" ht="16.5" thickBot="1">
      <c r="B23" s="69"/>
      <c r="C23" s="70"/>
      <c r="D23" s="70"/>
      <c r="E23" s="70"/>
      <c r="F23" s="70"/>
      <c r="G23" s="70"/>
      <c r="H23" s="876"/>
    </row>
    <row r="24" spans="1:12" ht="17.25" thickTop="1" thickBot="1">
      <c r="B24" s="72"/>
      <c r="C24" s="73"/>
      <c r="D24" s="73"/>
      <c r="E24" s="73"/>
      <c r="F24" s="74" t="s">
        <v>41</v>
      </c>
      <c r="G24" s="74"/>
      <c r="H24" s="75">
        <f>SUM(H14:H23)</f>
        <v>72489300</v>
      </c>
    </row>
    <row r="25" spans="1:12" ht="16.5" thickTop="1">
      <c r="B25" s="76"/>
      <c r="C25" s="77"/>
      <c r="D25" s="77"/>
      <c r="E25" s="77"/>
      <c r="F25" s="77"/>
      <c r="G25" s="77"/>
      <c r="H25" s="78"/>
    </row>
    <row r="26" spans="1:12">
      <c r="B26" s="79"/>
      <c r="C26" s="56"/>
      <c r="D26" s="56"/>
      <c r="E26" s="58"/>
      <c r="F26" s="40"/>
      <c r="G26" s="43"/>
      <c r="H26" s="877"/>
    </row>
    <row r="27" spans="1:12">
      <c r="B27" s="81"/>
      <c r="C27" s="41"/>
      <c r="E27" s="44"/>
      <c r="H27" s="82"/>
    </row>
    <row r="28" spans="1:12">
      <c r="B28" s="81"/>
      <c r="C28" s="41"/>
      <c r="E28" s="44"/>
      <c r="H28" s="878"/>
    </row>
    <row r="29" spans="1:12" ht="16.5" thickBot="1">
      <c r="B29" s="84"/>
      <c r="C29" s="85"/>
      <c r="D29" s="85"/>
      <c r="E29" s="85"/>
      <c r="F29" s="85"/>
      <c r="G29" s="85"/>
      <c r="H29" s="86"/>
    </row>
    <row r="30" spans="1:12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EC0CF6-4C75-4168-B632-ED4B9BC617AD}">
  <dimension ref="B1:Q80"/>
  <sheetViews>
    <sheetView topLeftCell="A31" zoomScale="85" zoomScaleNormal="85" workbookViewId="0">
      <selection activeCell="W71" sqref="W71"/>
    </sheetView>
  </sheetViews>
  <sheetFormatPr defaultColWidth="9.140625" defaultRowHeight="15.75"/>
  <cols>
    <col min="1" max="1" width="9.140625" style="814"/>
    <col min="2" max="2" width="6.42578125" style="814" customWidth="1"/>
    <col min="3" max="7" width="10.7109375" style="814" customWidth="1"/>
    <col min="8" max="8" width="7.42578125" style="815" bestFit="1" customWidth="1"/>
    <col min="9" max="9" width="9.42578125" style="814" customWidth="1"/>
    <col min="10" max="10" width="11.5703125" style="416" customWidth="1"/>
    <col min="11" max="11" width="15.5703125" style="814" customWidth="1"/>
    <col min="12" max="12" width="9.28515625" style="814" customWidth="1"/>
    <col min="13" max="15" width="9.140625" style="814"/>
    <col min="16" max="16" width="14.140625" style="814" customWidth="1"/>
    <col min="17" max="17" width="11" style="814" bestFit="1" customWidth="1"/>
    <col min="18" max="16384" width="9.140625" style="814"/>
  </cols>
  <sheetData>
    <row r="1" spans="2:12">
      <c r="B1" s="414"/>
      <c r="C1" s="415"/>
      <c r="D1" s="415"/>
      <c r="E1" s="415"/>
      <c r="F1" s="415"/>
      <c r="G1" s="415"/>
      <c r="H1" s="415"/>
      <c r="I1" s="415"/>
      <c r="J1" s="415"/>
      <c r="K1" s="272"/>
    </row>
    <row r="2" spans="2:12">
      <c r="B2" s="414"/>
      <c r="C2" s="414"/>
      <c r="D2" s="414"/>
      <c r="E2" s="414"/>
      <c r="F2" s="414"/>
      <c r="G2" s="414"/>
      <c r="H2" s="414"/>
      <c r="I2" s="414"/>
      <c r="J2" s="414"/>
      <c r="K2" s="417"/>
    </row>
    <row r="3" spans="2:12">
      <c r="B3" s="414" t="s">
        <v>0</v>
      </c>
      <c r="C3" s="2"/>
      <c r="D3" s="2"/>
      <c r="E3" s="2"/>
      <c r="F3" s="2"/>
      <c r="G3" s="1"/>
      <c r="H3" s="5"/>
      <c r="I3" s="6"/>
      <c r="J3" s="1"/>
      <c r="K3" s="1"/>
    </row>
    <row r="4" spans="2:12">
      <c r="B4" s="859" t="s">
        <v>956</v>
      </c>
      <c r="C4" s="2"/>
      <c r="D4" s="2"/>
      <c r="E4" s="2"/>
      <c r="F4" s="2"/>
      <c r="G4" s="1"/>
      <c r="H4" s="5"/>
      <c r="I4" s="6"/>
      <c r="J4" s="1"/>
      <c r="K4" s="1"/>
    </row>
    <row r="5" spans="2:12">
      <c r="B5" s="850" t="s">
        <v>1</v>
      </c>
      <c r="C5" s="2"/>
      <c r="D5" s="2"/>
      <c r="E5" s="2"/>
      <c r="F5" s="2"/>
      <c r="G5" s="1"/>
      <c r="H5" s="5"/>
      <c r="I5" s="6"/>
      <c r="J5" s="1"/>
      <c r="K5" s="1"/>
    </row>
    <row r="6" spans="2:12">
      <c r="B6" s="414" t="s">
        <v>2</v>
      </c>
      <c r="C6" s="2"/>
      <c r="D6" s="2"/>
      <c r="E6" s="2"/>
      <c r="F6" s="2"/>
      <c r="G6" s="1"/>
      <c r="H6" s="5"/>
      <c r="I6" s="6"/>
      <c r="J6" s="1"/>
      <c r="K6" s="1"/>
    </row>
    <row r="7" spans="2:12">
      <c r="B7" s="850" t="s">
        <v>3</v>
      </c>
      <c r="C7" s="2"/>
      <c r="D7" s="2"/>
      <c r="E7" s="2"/>
      <c r="F7" s="2"/>
      <c r="G7" s="1"/>
      <c r="H7" s="5"/>
      <c r="I7" s="6"/>
      <c r="J7" s="1"/>
      <c r="K7" s="1"/>
    </row>
    <row r="8" spans="2:12" ht="16.5" thickBot="1">
      <c r="B8" s="1"/>
      <c r="C8" s="1"/>
      <c r="D8" s="1"/>
      <c r="E8" s="1"/>
      <c r="F8" s="1"/>
      <c r="G8" s="1"/>
      <c r="H8" s="1"/>
      <c r="I8" s="1136" t="str">
        <f>'20SumRTungguBis'!F8</f>
        <v>No. 020/RAB-Blok A-SSBP/I/2021</v>
      </c>
      <c r="J8" s="1136"/>
      <c r="K8" s="1136"/>
    </row>
    <row r="9" spans="2:12" ht="16.5" thickTop="1">
      <c r="B9" s="962"/>
      <c r="C9" s="961"/>
      <c r="D9" s="9"/>
      <c r="E9" s="9"/>
      <c r="F9" s="9"/>
      <c r="G9" s="960"/>
      <c r="H9" s="959"/>
      <c r="I9" s="948"/>
      <c r="J9" s="860" t="s">
        <v>4</v>
      </c>
      <c r="K9" s="879" t="s">
        <v>5</v>
      </c>
      <c r="L9" s="1137"/>
    </row>
    <row r="10" spans="2:12">
      <c r="B10" s="958" t="s">
        <v>6</v>
      </c>
      <c r="C10" s="957" t="s">
        <v>7</v>
      </c>
      <c r="D10" s="854"/>
      <c r="E10" s="854"/>
      <c r="F10" s="854"/>
      <c r="G10" s="956"/>
      <c r="H10" s="1010" t="s">
        <v>8</v>
      </c>
      <c r="I10" s="947" t="s">
        <v>9</v>
      </c>
      <c r="J10" s="862" t="s">
        <v>8</v>
      </c>
      <c r="K10" s="880" t="s">
        <v>4</v>
      </c>
      <c r="L10" s="1138"/>
    </row>
    <row r="11" spans="2:12" ht="16.5" thickBot="1">
      <c r="B11" s="955"/>
      <c r="C11" s="954"/>
      <c r="D11" s="21"/>
      <c r="E11" s="21"/>
      <c r="F11" s="21"/>
      <c r="G11" s="953"/>
      <c r="H11" s="952"/>
      <c r="I11" s="946"/>
      <c r="J11" s="864" t="s">
        <v>10</v>
      </c>
      <c r="K11" s="881" t="s">
        <v>10</v>
      </c>
      <c r="L11" s="840"/>
    </row>
    <row r="12" spans="2:12" ht="16.5" thickTop="1">
      <c r="B12" s="428" t="s">
        <v>339</v>
      </c>
      <c r="C12" s="660" t="s">
        <v>340</v>
      </c>
      <c r="D12" s="661"/>
      <c r="E12" s="661"/>
      <c r="F12" s="661"/>
      <c r="G12" s="992"/>
      <c r="I12" s="425"/>
      <c r="J12" s="426"/>
      <c r="K12" s="433"/>
      <c r="L12" s="841"/>
    </row>
    <row r="13" spans="2:12" ht="18">
      <c r="B13" s="421">
        <v>1</v>
      </c>
      <c r="C13" s="434" t="s">
        <v>343</v>
      </c>
      <c r="G13" s="435"/>
      <c r="H13" s="815" t="s">
        <v>344</v>
      </c>
      <c r="I13" s="436">
        <v>28</v>
      </c>
      <c r="J13" s="432">
        <v>20000</v>
      </c>
      <c r="K13" s="437">
        <f>I13*J13</f>
        <v>560000</v>
      </c>
      <c r="L13" s="842"/>
    </row>
    <row r="14" spans="2:12">
      <c r="B14" s="438"/>
      <c r="C14" s="434"/>
      <c r="G14" s="435"/>
      <c r="I14" s="436"/>
      <c r="J14" s="432"/>
      <c r="K14" s="437"/>
      <c r="L14" s="842"/>
    </row>
    <row r="15" spans="2:12">
      <c r="B15" s="421"/>
      <c r="C15" s="434"/>
      <c r="G15" s="883"/>
      <c r="I15" s="436"/>
      <c r="J15" s="439" t="s">
        <v>348</v>
      </c>
      <c r="K15" s="440">
        <f>SUM(K13:K13)</f>
        <v>560000</v>
      </c>
      <c r="L15" s="843"/>
    </row>
    <row r="16" spans="2:12">
      <c r="B16" s="428" t="s">
        <v>349</v>
      </c>
      <c r="C16" s="429" t="s">
        <v>191</v>
      </c>
      <c r="D16" s="816"/>
      <c r="E16" s="816"/>
      <c r="F16" s="816"/>
      <c r="G16" s="435"/>
      <c r="I16" s="436"/>
      <c r="J16" s="432"/>
      <c r="K16" s="437"/>
      <c r="L16" s="841"/>
    </row>
    <row r="17" spans="2:12" ht="18">
      <c r="B17" s="421">
        <v>1</v>
      </c>
      <c r="C17" s="434" t="s">
        <v>554</v>
      </c>
      <c r="G17" s="435"/>
      <c r="H17" s="815" t="s">
        <v>351</v>
      </c>
      <c r="I17" s="436">
        <f>1*1*21.4</f>
        <v>21.4</v>
      </c>
      <c r="J17" s="432">
        <v>150000</v>
      </c>
      <c r="K17" s="437">
        <f>I17*J17</f>
        <v>3210000</v>
      </c>
      <c r="L17" s="842"/>
    </row>
    <row r="18" spans="2:12" ht="18">
      <c r="B18" s="421">
        <f>B17+1</f>
        <v>2</v>
      </c>
      <c r="C18" s="434" t="s">
        <v>352</v>
      </c>
      <c r="G18" s="435"/>
      <c r="H18" s="815" t="s">
        <v>351</v>
      </c>
      <c r="I18" s="436">
        <f>0.05*1*21.4</f>
        <v>1.07</v>
      </c>
      <c r="J18" s="432">
        <v>310000</v>
      </c>
      <c r="K18" s="437">
        <f>I18*J18</f>
        <v>331700</v>
      </c>
      <c r="L18" s="842"/>
    </row>
    <row r="19" spans="2:12" ht="18">
      <c r="B19" s="421">
        <f>B18+1</f>
        <v>3</v>
      </c>
      <c r="C19" s="434" t="s">
        <v>211</v>
      </c>
      <c r="G19" s="435"/>
      <c r="H19" s="815" t="s">
        <v>351</v>
      </c>
      <c r="I19" s="436">
        <f>0.5*1*21.4</f>
        <v>10.7</v>
      </c>
      <c r="J19" s="432">
        <v>972000</v>
      </c>
      <c r="K19" s="437">
        <f>I19*J19</f>
        <v>10400400</v>
      </c>
      <c r="L19" s="842"/>
    </row>
    <row r="20" spans="2:12">
      <c r="B20" s="421"/>
      <c r="C20" s="434"/>
      <c r="G20" s="435"/>
      <c r="I20" s="436"/>
      <c r="J20" s="432"/>
      <c r="K20" s="437"/>
      <c r="L20" s="841"/>
    </row>
    <row r="21" spans="2:12">
      <c r="B21" s="421"/>
      <c r="C21" s="434"/>
      <c r="G21" s="883"/>
      <c r="I21" s="436"/>
      <c r="J21" s="439" t="s">
        <v>353</v>
      </c>
      <c r="K21" s="440">
        <f>SUM(K17:K20)</f>
        <v>13942100</v>
      </c>
      <c r="L21" s="843"/>
    </row>
    <row r="22" spans="2:12">
      <c r="B22" s="428" t="s">
        <v>354</v>
      </c>
      <c r="C22" s="429" t="s">
        <v>805</v>
      </c>
      <c r="D22" s="816"/>
      <c r="E22" s="816"/>
      <c r="F22" s="816"/>
      <c r="G22" s="435"/>
      <c r="I22" s="436"/>
      <c r="J22" s="432"/>
      <c r="K22" s="437"/>
      <c r="L22" s="841"/>
    </row>
    <row r="23" spans="2:12" ht="18">
      <c r="B23" s="421">
        <v>1</v>
      </c>
      <c r="C23" s="434" t="s">
        <v>556</v>
      </c>
      <c r="G23" s="435"/>
      <c r="H23" s="815" t="s">
        <v>351</v>
      </c>
      <c r="I23" s="436">
        <f>0.15*0.15*21.4</f>
        <v>0.48149999999999993</v>
      </c>
      <c r="J23" s="432">
        <v>5800000</v>
      </c>
      <c r="K23" s="437">
        <f>I23*J23</f>
        <v>2792699.9999999995</v>
      </c>
      <c r="L23" s="842"/>
    </row>
    <row r="24" spans="2:12">
      <c r="B24" s="438">
        <f>B23+1</f>
        <v>2</v>
      </c>
      <c r="C24" s="434" t="s">
        <v>948</v>
      </c>
      <c r="G24" s="435"/>
      <c r="H24" s="815" t="s">
        <v>337</v>
      </c>
      <c r="I24" s="436">
        <v>2</v>
      </c>
      <c r="J24" s="432">
        <v>975000</v>
      </c>
      <c r="K24" s="437">
        <f>I24*J24</f>
        <v>1950000</v>
      </c>
      <c r="L24" s="842"/>
    </row>
    <row r="25" spans="2:12">
      <c r="B25" s="438"/>
      <c r="C25" s="434"/>
      <c r="G25" s="435"/>
      <c r="I25" s="436"/>
      <c r="J25" s="432"/>
      <c r="K25" s="437"/>
      <c r="L25" s="842"/>
    </row>
    <row r="26" spans="2:12">
      <c r="B26" s="421"/>
      <c r="C26" s="434"/>
      <c r="G26" s="883"/>
      <c r="I26" s="444"/>
      <c r="J26" s="439" t="s">
        <v>358</v>
      </c>
      <c r="K26" s="440">
        <f>SUM(K23:K24)</f>
        <v>4742700</v>
      </c>
      <c r="L26" s="843"/>
    </row>
    <row r="27" spans="2:12">
      <c r="B27" s="428" t="s">
        <v>359</v>
      </c>
      <c r="C27" s="429" t="s">
        <v>360</v>
      </c>
      <c r="D27" s="816"/>
      <c r="E27" s="816"/>
      <c r="F27" s="816"/>
      <c r="G27" s="435"/>
      <c r="I27" s="444"/>
      <c r="J27" s="432"/>
      <c r="K27" s="437"/>
      <c r="L27" s="841"/>
    </row>
    <row r="28" spans="2:12" ht="18">
      <c r="B28" s="421">
        <v>1</v>
      </c>
      <c r="C28" s="434" t="s">
        <v>560</v>
      </c>
      <c r="G28" s="884"/>
      <c r="H28" s="815" t="s">
        <v>342</v>
      </c>
      <c r="I28" s="445">
        <v>25</v>
      </c>
      <c r="J28" s="446">
        <v>272700</v>
      </c>
      <c r="K28" s="437">
        <f>I28*J28</f>
        <v>6817500</v>
      </c>
      <c r="L28" s="842"/>
    </row>
    <row r="29" spans="2:12" ht="18">
      <c r="B29" s="421">
        <f>B28+1</f>
        <v>2</v>
      </c>
      <c r="C29" s="434" t="s">
        <v>918</v>
      </c>
      <c r="G29" s="884"/>
      <c r="H29" s="815" t="s">
        <v>342</v>
      </c>
      <c r="I29" s="445">
        <v>26.7</v>
      </c>
      <c r="J29" s="446">
        <v>250000</v>
      </c>
      <c r="K29" s="437">
        <f>I29*J29</f>
        <v>6675000</v>
      </c>
      <c r="L29" s="842"/>
    </row>
    <row r="30" spans="2:12">
      <c r="B30" s="421"/>
      <c r="C30" s="434"/>
      <c r="G30" s="884"/>
      <c r="I30" s="828"/>
      <c r="J30" s="446"/>
      <c r="K30" s="437"/>
      <c r="L30" s="842"/>
    </row>
    <row r="31" spans="2:12">
      <c r="B31" s="421"/>
      <c r="C31" s="434"/>
      <c r="G31" s="884"/>
      <c r="I31" s="444"/>
      <c r="J31" s="439" t="s">
        <v>361</v>
      </c>
      <c r="K31" s="440">
        <f>SUM(K28:K30)</f>
        <v>13492500</v>
      </c>
      <c r="L31" s="843"/>
    </row>
    <row r="32" spans="2:12">
      <c r="B32" s="449" t="s">
        <v>362</v>
      </c>
      <c r="C32" s="429" t="s">
        <v>288</v>
      </c>
      <c r="D32" s="816"/>
      <c r="E32" s="816"/>
      <c r="F32" s="816"/>
      <c r="G32" s="435"/>
      <c r="I32" s="444"/>
      <c r="J32" s="432"/>
      <c r="K32" s="437"/>
      <c r="L32" s="841"/>
    </row>
    <row r="33" spans="2:12" ht="18">
      <c r="B33" s="421">
        <v>1</v>
      </c>
      <c r="C33" s="434" t="s">
        <v>562</v>
      </c>
      <c r="G33" s="435"/>
      <c r="H33" s="815" t="s">
        <v>342</v>
      </c>
      <c r="I33" s="436">
        <f>8*7</f>
        <v>56</v>
      </c>
      <c r="J33" s="432">
        <v>175000</v>
      </c>
      <c r="K33" s="437">
        <f>I33*J33</f>
        <v>9800000</v>
      </c>
      <c r="L33" s="842"/>
    </row>
    <row r="34" spans="2:12" ht="18">
      <c r="B34" s="421">
        <f>B33+1</f>
        <v>2</v>
      </c>
      <c r="C34" s="434" t="s">
        <v>782</v>
      </c>
      <c r="G34" s="435"/>
      <c r="H34" s="815" t="s">
        <v>342</v>
      </c>
      <c r="I34" s="436">
        <f>I33</f>
        <v>56</v>
      </c>
      <c r="J34" s="432">
        <v>360000</v>
      </c>
      <c r="K34" s="437">
        <f>I34*J34</f>
        <v>20160000</v>
      </c>
      <c r="L34" s="842"/>
    </row>
    <row r="35" spans="2:12">
      <c r="B35" s="421"/>
      <c r="C35" s="434"/>
      <c r="G35" s="435"/>
      <c r="I35" s="436"/>
      <c r="J35" s="432"/>
      <c r="K35" s="437"/>
      <c r="L35" s="842"/>
    </row>
    <row r="36" spans="2:12">
      <c r="B36" s="421"/>
      <c r="C36" s="434"/>
      <c r="G36" s="884"/>
      <c r="I36" s="444"/>
      <c r="J36" s="439" t="s">
        <v>365</v>
      </c>
      <c r="K36" s="440">
        <f>SUM(K33:K35)</f>
        <v>29960000</v>
      </c>
      <c r="L36" s="843"/>
    </row>
    <row r="37" spans="2:12">
      <c r="B37" s="449" t="s">
        <v>366</v>
      </c>
      <c r="C37" s="429" t="s">
        <v>373</v>
      </c>
      <c r="D37" s="816"/>
      <c r="E37" s="816"/>
      <c r="F37" s="816"/>
      <c r="G37" s="435"/>
      <c r="I37" s="444"/>
      <c r="J37" s="432"/>
      <c r="K37" s="437"/>
      <c r="L37" s="841"/>
    </row>
    <row r="38" spans="2:12" ht="18">
      <c r="B38" s="421">
        <v>1</v>
      </c>
      <c r="C38" s="434" t="s">
        <v>374</v>
      </c>
      <c r="G38" s="435"/>
      <c r="H38" s="815" t="s">
        <v>342</v>
      </c>
      <c r="I38" s="436">
        <f>6*8</f>
        <v>48</v>
      </c>
      <c r="J38" s="432">
        <v>10000</v>
      </c>
      <c r="K38" s="437">
        <f>I38*J38</f>
        <v>480000</v>
      </c>
      <c r="L38" s="842"/>
    </row>
    <row r="39" spans="2:12" ht="18">
      <c r="B39" s="421">
        <v>2</v>
      </c>
      <c r="C39" s="434" t="s">
        <v>375</v>
      </c>
      <c r="G39" s="435"/>
      <c r="H39" s="815" t="s">
        <v>351</v>
      </c>
      <c r="I39" s="436">
        <f>I38*0.03</f>
        <v>1.44</v>
      </c>
      <c r="J39" s="432">
        <v>310000</v>
      </c>
      <c r="K39" s="437">
        <f>I39*J39</f>
        <v>446400</v>
      </c>
      <c r="L39" s="842"/>
    </row>
    <row r="40" spans="2:12" ht="18">
      <c r="B40" s="438">
        <v>3</v>
      </c>
      <c r="C40" s="450" t="s">
        <v>569</v>
      </c>
      <c r="D40" s="820"/>
      <c r="E40" s="820"/>
      <c r="F40" s="820"/>
      <c r="G40" s="435"/>
      <c r="H40" s="815" t="s">
        <v>351</v>
      </c>
      <c r="I40" s="436">
        <f>I38*0.03</f>
        <v>1.44</v>
      </c>
      <c r="J40" s="432">
        <v>700000</v>
      </c>
      <c r="K40" s="437">
        <f>I40*J40</f>
        <v>1008000</v>
      </c>
      <c r="L40" s="842"/>
    </row>
    <row r="41" spans="2:12" ht="18">
      <c r="B41" s="421">
        <v>4</v>
      </c>
      <c r="C41" s="434" t="s">
        <v>949</v>
      </c>
      <c r="G41" s="435"/>
      <c r="H41" s="815" t="s">
        <v>342</v>
      </c>
      <c r="I41" s="436">
        <f>I38</f>
        <v>48</v>
      </c>
      <c r="J41" s="432">
        <v>163700</v>
      </c>
      <c r="K41" s="437">
        <f>I41*J41</f>
        <v>7857600</v>
      </c>
      <c r="L41" s="842"/>
    </row>
    <row r="42" spans="2:12">
      <c r="B42" s="421"/>
      <c r="C42" s="434"/>
      <c r="G42" s="435"/>
      <c r="I42" s="436"/>
      <c r="J42" s="432"/>
      <c r="K42" s="437"/>
      <c r="L42" s="842"/>
    </row>
    <row r="43" spans="2:12">
      <c r="B43" s="421"/>
      <c r="C43" s="434"/>
      <c r="G43" s="884"/>
      <c r="I43" s="444"/>
      <c r="J43" s="439" t="s">
        <v>368</v>
      </c>
      <c r="K43" s="440">
        <f>SUM(K38:K42)</f>
        <v>9792000</v>
      </c>
      <c r="L43" s="843"/>
    </row>
    <row r="44" spans="2:12">
      <c r="B44" s="421"/>
      <c r="C44" s="434"/>
      <c r="G44" s="435"/>
      <c r="I44" s="444"/>
      <c r="J44" s="432"/>
      <c r="K44" s="437"/>
      <c r="L44" s="842"/>
    </row>
    <row r="45" spans="2:12">
      <c r="B45" s="428" t="s">
        <v>369</v>
      </c>
      <c r="C45" s="429" t="s">
        <v>396</v>
      </c>
      <c r="D45" s="816"/>
      <c r="E45" s="816"/>
      <c r="F45" s="816"/>
      <c r="G45" s="435"/>
      <c r="I45" s="444"/>
      <c r="J45" s="432"/>
      <c r="K45" s="437"/>
      <c r="L45" s="842"/>
    </row>
    <row r="46" spans="2:12">
      <c r="B46" s="421"/>
      <c r="C46" s="434" t="s">
        <v>987</v>
      </c>
      <c r="D46" s="415"/>
      <c r="E46" s="415"/>
      <c r="F46" s="415"/>
      <c r="G46" s="435"/>
      <c r="H46" s="272"/>
      <c r="I46" s="436"/>
      <c r="J46" s="432"/>
      <c r="K46" s="437"/>
      <c r="L46" s="842"/>
    </row>
    <row r="47" spans="2:12">
      <c r="B47" s="421"/>
      <c r="C47" s="434"/>
      <c r="D47" s="415"/>
      <c r="E47" s="415"/>
      <c r="F47" s="415"/>
      <c r="G47" s="435"/>
      <c r="H47" s="272"/>
      <c r="I47" s="436"/>
      <c r="J47" s="432"/>
      <c r="K47" s="437"/>
      <c r="L47" s="842"/>
    </row>
    <row r="48" spans="2:12">
      <c r="B48" s="421"/>
      <c r="C48" s="434"/>
      <c r="G48" s="435"/>
      <c r="I48" s="444"/>
      <c r="J48" s="432"/>
      <c r="K48" s="437"/>
      <c r="L48" s="842"/>
    </row>
    <row r="49" spans="2:17">
      <c r="B49" s="421"/>
      <c r="C49" s="434"/>
      <c r="G49" s="435"/>
      <c r="I49" s="444"/>
      <c r="J49" s="439" t="s">
        <v>371</v>
      </c>
      <c r="K49" s="440">
        <f>SUM(K44:K48)</f>
        <v>0</v>
      </c>
      <c r="L49" s="842"/>
    </row>
    <row r="50" spans="2:17">
      <c r="B50" s="421"/>
      <c r="C50" s="434"/>
      <c r="G50" s="435"/>
      <c r="I50" s="444"/>
      <c r="J50" s="432"/>
      <c r="K50" s="437"/>
      <c r="L50" s="842"/>
    </row>
    <row r="51" spans="2:17">
      <c r="B51" s="421"/>
      <c r="C51" s="434"/>
      <c r="G51" s="435"/>
      <c r="I51" s="444"/>
      <c r="J51" s="432"/>
      <c r="K51" s="437"/>
      <c r="L51" s="842"/>
    </row>
    <row r="52" spans="2:17">
      <c r="B52" s="421"/>
      <c r="C52" s="434"/>
      <c r="G52" s="435"/>
      <c r="I52" s="444"/>
      <c r="J52" s="432"/>
      <c r="K52" s="437"/>
      <c r="L52" s="842"/>
    </row>
    <row r="53" spans="2:17">
      <c r="B53" s="421"/>
      <c r="C53" s="434"/>
      <c r="G53" s="435"/>
      <c r="I53" s="444"/>
      <c r="J53" s="432"/>
      <c r="K53" s="437"/>
      <c r="L53" s="842"/>
    </row>
    <row r="54" spans="2:17" ht="16.5" thickBot="1">
      <c r="B54" s="459"/>
      <c r="C54" s="460"/>
      <c r="D54" s="461"/>
      <c r="E54" s="461"/>
      <c r="F54" s="461"/>
      <c r="G54" s="462"/>
      <c r="H54" s="463"/>
      <c r="I54" s="1019"/>
      <c r="J54" s="465"/>
      <c r="K54" s="1002"/>
      <c r="L54" s="842"/>
    </row>
    <row r="55" spans="2:17">
      <c r="B55" s="421"/>
      <c r="G55" s="851"/>
      <c r="I55" s="995"/>
      <c r="J55" s="974"/>
      <c r="K55" s="440"/>
      <c r="L55" s="843"/>
      <c r="M55" s="818"/>
      <c r="N55" s="818"/>
      <c r="Q55" s="818"/>
    </row>
    <row r="56" spans="2:17">
      <c r="B56" s="421"/>
      <c r="G56" s="815"/>
      <c r="I56" s="968"/>
      <c r="J56" s="974"/>
      <c r="K56" s="467">
        <f>SUM(K12:K54)/2</f>
        <v>72489300</v>
      </c>
      <c r="L56" s="848"/>
    </row>
    <row r="57" spans="2:17" ht="16.5" thickBot="1">
      <c r="B57" s="468"/>
      <c r="C57" s="470"/>
      <c r="D57" s="470"/>
      <c r="E57" s="470"/>
      <c r="F57" s="470"/>
      <c r="G57" s="470"/>
      <c r="H57" s="472"/>
      <c r="I57" s="969"/>
      <c r="J57" s="971"/>
      <c r="K57" s="475"/>
      <c r="L57" s="841"/>
    </row>
    <row r="58" spans="2:17" ht="16.5" thickTop="1">
      <c r="I58" s="476"/>
      <c r="J58" s="477"/>
      <c r="K58" s="479"/>
      <c r="L58" s="841"/>
    </row>
    <row r="59" spans="2:17">
      <c r="I59" s="476"/>
      <c r="J59" s="477"/>
      <c r="K59" s="478"/>
      <c r="L59" s="841"/>
    </row>
    <row r="60" spans="2:17">
      <c r="I60" s="476"/>
      <c r="J60" s="477"/>
      <c r="K60" s="479"/>
      <c r="L60" s="841"/>
    </row>
    <row r="61" spans="2:17">
      <c r="I61" s="476"/>
      <c r="J61" s="477"/>
      <c r="K61" s="478"/>
      <c r="L61" s="841"/>
    </row>
    <row r="62" spans="2:17">
      <c r="I62" s="476"/>
      <c r="J62" s="477"/>
      <c r="K62" s="479"/>
      <c r="L62" s="841"/>
    </row>
    <row r="63" spans="2:17">
      <c r="I63" s="476"/>
      <c r="J63" s="477"/>
      <c r="K63" s="1011"/>
      <c r="L63" s="841"/>
    </row>
    <row r="64" spans="2:17">
      <c r="I64" s="476"/>
      <c r="J64" s="477"/>
      <c r="K64" s="479"/>
      <c r="L64" s="841"/>
    </row>
    <row r="65" spans="8:12">
      <c r="I65" s="476"/>
      <c r="J65" s="477"/>
      <c r="K65" s="479"/>
      <c r="L65" s="841"/>
    </row>
    <row r="66" spans="8:12">
      <c r="I66" s="476"/>
      <c r="J66" s="477"/>
      <c r="K66" s="479"/>
      <c r="L66" s="841"/>
    </row>
    <row r="67" spans="8:12">
      <c r="I67" s="476"/>
      <c r="J67" s="477"/>
      <c r="K67" s="479"/>
      <c r="L67" s="841"/>
    </row>
    <row r="68" spans="8:12">
      <c r="I68" s="476"/>
      <c r="J68" s="477"/>
      <c r="K68" s="479"/>
      <c r="L68" s="841"/>
    </row>
    <row r="69" spans="8:12">
      <c r="I69" s="476"/>
      <c r="J69" s="477"/>
      <c r="K69" s="479"/>
      <c r="L69" s="841"/>
    </row>
    <row r="70" spans="8:12">
      <c r="I70" s="476"/>
      <c r="J70" s="477"/>
      <c r="K70" s="479"/>
      <c r="L70" s="841"/>
    </row>
    <row r="72" spans="8:12">
      <c r="H72" s="851"/>
      <c r="K72" s="480"/>
    </row>
    <row r="73" spans="8:12">
      <c r="H73" s="851"/>
      <c r="K73" s="818"/>
    </row>
    <row r="74" spans="8:12">
      <c r="K74" s="481"/>
    </row>
    <row r="75" spans="8:12">
      <c r="H75" s="851"/>
    </row>
    <row r="80" spans="8:12">
      <c r="H80" s="853"/>
    </row>
  </sheetData>
  <mergeCells count="2">
    <mergeCell ref="I8:K8"/>
    <mergeCell ref="L9:L10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AD457-8769-4EA2-A3DB-CA74B32A84D0}">
  <sheetPr>
    <tabColor rgb="FFFFFF00"/>
    <pageSetUpPr fitToPage="1"/>
  </sheetPr>
  <dimension ref="A2:L35"/>
  <sheetViews>
    <sheetView zoomScale="110" zoomScaleNormal="110" workbookViewId="0">
      <selection activeCell="H16" sqref="H16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7.57031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975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976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IPAL Blok A</v>
      </c>
      <c r="D13" s="58"/>
      <c r="E13" s="58"/>
      <c r="F13" s="58"/>
      <c r="G13" s="58"/>
      <c r="H13" s="59"/>
    </row>
    <row r="14" spans="1:12" s="60" customFormat="1">
      <c r="A14" s="39"/>
      <c r="B14" s="49"/>
      <c r="C14" s="58"/>
      <c r="D14" s="58"/>
      <c r="E14" s="58"/>
      <c r="F14" s="58"/>
      <c r="G14" s="58"/>
      <c r="H14" s="59"/>
      <c r="I14" s="39"/>
      <c r="J14" s="39"/>
      <c r="K14" s="39"/>
      <c r="L14" s="39"/>
    </row>
    <row r="15" spans="1:12" s="60" customFormat="1">
      <c r="A15" s="39"/>
      <c r="B15" s="61"/>
      <c r="C15" s="616" t="s">
        <v>977</v>
      </c>
      <c r="D15" s="62"/>
      <c r="E15" s="62"/>
      <c r="F15" s="62"/>
      <c r="G15" s="62"/>
      <c r="H15" s="66">
        <v>970000000</v>
      </c>
      <c r="I15" s="39"/>
      <c r="J15" s="39"/>
      <c r="K15" s="39"/>
      <c r="L15" s="39"/>
    </row>
    <row r="16" spans="1:12">
      <c r="B16" s="63"/>
      <c r="C16" s="64" t="s">
        <v>973</v>
      </c>
      <c r="D16" s="37"/>
      <c r="E16" s="37"/>
      <c r="F16" s="37"/>
      <c r="G16" s="37"/>
      <c r="H16" s="65"/>
    </row>
    <row r="17" spans="1:12" s="60" customFormat="1">
      <c r="A17" s="39"/>
      <c r="B17" s="61"/>
      <c r="C17" s="616" t="s">
        <v>974</v>
      </c>
      <c r="D17" s="62"/>
      <c r="E17" s="62"/>
      <c r="F17" s="62"/>
      <c r="G17" s="62"/>
      <c r="H17" s="66"/>
      <c r="I17" s="39"/>
      <c r="J17" s="39"/>
      <c r="K17" s="39"/>
      <c r="L17" s="39"/>
    </row>
    <row r="18" spans="1:12" s="60" customFormat="1">
      <c r="A18" s="39"/>
      <c r="B18" s="63"/>
      <c r="C18" s="67"/>
      <c r="D18" s="67"/>
      <c r="E18" s="67"/>
      <c r="F18" s="67"/>
      <c r="G18" s="67"/>
      <c r="H18" s="34"/>
      <c r="I18" s="39"/>
      <c r="J18" s="39"/>
      <c r="K18" s="39"/>
      <c r="L18" s="39"/>
    </row>
    <row r="19" spans="1:12">
      <c r="B19" s="61"/>
      <c r="C19" s="616"/>
      <c r="D19" s="62"/>
      <c r="E19" s="62"/>
      <c r="F19" s="62"/>
      <c r="G19" s="62"/>
      <c r="H19" s="66"/>
    </row>
    <row r="20" spans="1:12" s="60" customFormat="1">
      <c r="A20" s="39"/>
      <c r="B20" s="63"/>
      <c r="C20" s="64"/>
      <c r="D20" s="37"/>
      <c r="E20" s="37"/>
      <c r="F20" s="37"/>
      <c r="G20" s="37"/>
      <c r="H20" s="34"/>
      <c r="I20" s="39"/>
      <c r="J20" s="39"/>
      <c r="K20" s="39"/>
      <c r="L20" s="39"/>
    </row>
    <row r="21" spans="1:12" s="60" customFormat="1">
      <c r="A21" s="39"/>
      <c r="B21" s="61"/>
      <c r="C21" s="617"/>
      <c r="D21" s="37"/>
      <c r="E21" s="37"/>
      <c r="F21" s="37"/>
      <c r="G21" s="37"/>
      <c r="H21" s="34"/>
      <c r="I21" s="39"/>
      <c r="J21" s="39"/>
      <c r="K21" s="39"/>
      <c r="L21" s="39"/>
    </row>
    <row r="22" spans="1:12" s="60" customFormat="1">
      <c r="A22" s="39"/>
      <c r="B22" s="63"/>
      <c r="C22" s="68"/>
      <c r="D22" s="37"/>
      <c r="E22" s="37"/>
      <c r="F22" s="37"/>
      <c r="G22" s="37"/>
      <c r="H22" s="65"/>
      <c r="I22" s="39"/>
      <c r="J22" s="39"/>
      <c r="K22" s="39"/>
      <c r="L22" s="39"/>
    </row>
    <row r="23" spans="1:12">
      <c r="B23" s="63"/>
      <c r="C23" s="618"/>
      <c r="D23" s="37"/>
      <c r="E23" s="37"/>
      <c r="F23" s="37"/>
      <c r="G23" s="37"/>
      <c r="H23" s="34"/>
    </row>
    <row r="24" spans="1:12" s="60" customFormat="1">
      <c r="A24" s="39"/>
      <c r="B24" s="63"/>
      <c r="C24" s="36"/>
      <c r="D24" s="37"/>
      <c r="E24" s="37"/>
      <c r="F24" s="37"/>
      <c r="G24" s="37"/>
      <c r="H24" s="65"/>
      <c r="I24" s="39"/>
      <c r="J24" s="39"/>
      <c r="K24" s="39"/>
      <c r="L24" s="39"/>
    </row>
    <row r="25" spans="1:12" s="60" customFormat="1">
      <c r="A25" s="39"/>
      <c r="B25" s="61"/>
      <c r="C25" s="619"/>
      <c r="D25" s="37"/>
      <c r="E25" s="37"/>
      <c r="F25" s="37"/>
      <c r="G25" s="37"/>
      <c r="H25" s="34"/>
      <c r="I25" s="39"/>
      <c r="J25" s="39"/>
      <c r="K25" s="39"/>
      <c r="L25" s="39"/>
    </row>
    <row r="26" spans="1:12" s="60" customFormat="1">
      <c r="A26" s="39"/>
      <c r="B26" s="63"/>
      <c r="C26" s="36"/>
      <c r="D26" s="67"/>
      <c r="E26" s="37"/>
      <c r="F26" s="37"/>
      <c r="G26" s="37"/>
      <c r="H26" s="34"/>
      <c r="I26" s="39"/>
      <c r="J26" s="39"/>
      <c r="K26" s="39"/>
      <c r="L26" s="39"/>
    </row>
    <row r="27" spans="1:12">
      <c r="B27" s="63"/>
      <c r="C27" s="36"/>
      <c r="D27" s="37"/>
      <c r="E27" s="37"/>
      <c r="F27" s="37"/>
      <c r="G27" s="37"/>
      <c r="H27" s="34"/>
    </row>
    <row r="28" spans="1:12" ht="16.5" thickBot="1">
      <c r="B28" s="69"/>
      <c r="C28" s="70"/>
      <c r="D28" s="70"/>
      <c r="E28" s="70"/>
      <c r="F28" s="70"/>
      <c r="G28" s="70"/>
      <c r="H28" s="71"/>
    </row>
    <row r="29" spans="1:12" ht="17.25" thickTop="1" thickBot="1">
      <c r="B29" s="72"/>
      <c r="C29" s="73"/>
      <c r="D29" s="73"/>
      <c r="E29" s="73"/>
      <c r="F29" s="74" t="s">
        <v>41</v>
      </c>
      <c r="G29" s="74"/>
      <c r="H29" s="75">
        <f>SUM(H15:H28)</f>
        <v>970000000</v>
      </c>
    </row>
    <row r="30" spans="1:12" ht="16.5" thickTop="1">
      <c r="B30" s="76"/>
      <c r="C30" s="77"/>
      <c r="D30" s="77"/>
      <c r="E30" s="77"/>
      <c r="F30" s="77"/>
      <c r="G30" s="77"/>
      <c r="H30" s="78"/>
    </row>
    <row r="31" spans="1:12">
      <c r="B31" s="79"/>
      <c r="C31" s="56"/>
      <c r="D31" s="56"/>
      <c r="E31" s="58"/>
      <c r="G31" s="43"/>
      <c r="H31" s="80"/>
    </row>
    <row r="32" spans="1:12">
      <c r="B32" s="81"/>
      <c r="C32" s="41"/>
      <c r="E32" s="44"/>
      <c r="H32" s="82"/>
    </row>
    <row r="33" spans="2:8">
      <c r="B33" s="81"/>
      <c r="C33" s="41"/>
      <c r="E33" s="44"/>
      <c r="H33" s="83"/>
    </row>
    <row r="34" spans="2:8" ht="16.5" thickBot="1">
      <c r="B34" s="84"/>
      <c r="C34" s="85"/>
      <c r="D34" s="85"/>
      <c r="E34" s="85"/>
      <c r="F34" s="85"/>
      <c r="G34" s="85"/>
      <c r="H34" s="86"/>
    </row>
    <row r="35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70635-5599-4A87-8DB3-B81CF3D6B0CF}">
  <sheetPr>
    <tabColor rgb="FFFFFF00"/>
    <pageSetUpPr fitToPage="1"/>
  </sheetPr>
  <dimension ref="A2:L48"/>
  <sheetViews>
    <sheetView workbookViewId="0">
      <selection activeCell="F9" sqref="F9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7.57031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645" t="s">
        <v>0</v>
      </c>
      <c r="C3" s="41"/>
      <c r="E3" s="43"/>
      <c r="F3" s="44"/>
    </row>
    <row r="4" spans="1:12">
      <c r="B4" s="646" t="str">
        <f>'BQTPS '!B2</f>
        <v>Tempat Pembuangan Sampah Blok A</v>
      </c>
      <c r="C4" s="41"/>
      <c r="E4" s="43"/>
      <c r="F4" s="44"/>
    </row>
    <row r="5" spans="1:12">
      <c r="B5" s="647" t="s">
        <v>1</v>
      </c>
      <c r="C5" s="41"/>
      <c r="E5" s="43"/>
      <c r="F5" s="44"/>
    </row>
    <row r="6" spans="1:12">
      <c r="B6" s="645" t="s">
        <v>2</v>
      </c>
      <c r="C6" s="41"/>
      <c r="E6" s="43"/>
      <c r="F6" s="44"/>
    </row>
    <row r="7" spans="1:12">
      <c r="B7" s="647" t="s">
        <v>3</v>
      </c>
      <c r="C7" s="41"/>
      <c r="E7" s="43"/>
      <c r="F7" s="44"/>
    </row>
    <row r="8" spans="1:12" ht="16.5" thickBot="1">
      <c r="E8" s="648"/>
      <c r="F8" s="1136" t="s">
        <v>945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Tempat Pembuangan Sampah Blok A</v>
      </c>
      <c r="D13" s="58"/>
      <c r="E13" s="58"/>
      <c r="F13" s="58"/>
      <c r="G13" s="58"/>
      <c r="H13" s="59"/>
    </row>
    <row r="14" spans="1:12" s="649" customFormat="1">
      <c r="A14" s="39"/>
      <c r="B14" s="49"/>
      <c r="C14" s="58"/>
      <c r="D14" s="58"/>
      <c r="E14" s="58"/>
      <c r="F14" s="58"/>
      <c r="G14" s="58"/>
      <c r="H14" s="59"/>
      <c r="I14" s="39"/>
      <c r="J14" s="39"/>
      <c r="K14" s="39"/>
      <c r="L14" s="39"/>
    </row>
    <row r="15" spans="1:12" s="649" customFormat="1">
      <c r="A15" s="39"/>
      <c r="B15" s="61" t="s">
        <v>11</v>
      </c>
      <c r="C15" s="616" t="str">
        <f>'BQTPS '!C10</f>
        <v>Persiapan &amp; Penyelesaiaan</v>
      </c>
      <c r="D15" s="62"/>
      <c r="E15" s="62"/>
      <c r="F15" s="62"/>
      <c r="G15" s="62"/>
      <c r="H15" s="66">
        <f>'BQTPS '!K15</f>
        <v>5800000</v>
      </c>
      <c r="I15" s="39"/>
      <c r="J15" s="39"/>
      <c r="K15" s="39"/>
      <c r="L15" s="39"/>
    </row>
    <row r="16" spans="1:12">
      <c r="B16" s="63"/>
      <c r="C16" s="64"/>
      <c r="D16" s="37"/>
      <c r="E16" s="37"/>
      <c r="F16" s="37"/>
      <c r="G16" s="37"/>
      <c r="H16" s="34"/>
    </row>
    <row r="17" spans="1:12" s="649" customFormat="1">
      <c r="A17" s="39"/>
      <c r="B17" s="61" t="s">
        <v>12</v>
      </c>
      <c r="C17" s="616" t="str">
        <f>'Bq Pos Jaga5x5'!C19</f>
        <v>Pekerjaan Pondasi</v>
      </c>
      <c r="D17" s="62"/>
      <c r="E17" s="62"/>
      <c r="F17" s="62"/>
      <c r="G17" s="62"/>
      <c r="H17" s="66">
        <f>'BQTPS '!K20</f>
        <v>29853250</v>
      </c>
      <c r="I17" s="39"/>
      <c r="J17" s="39"/>
      <c r="K17" s="39"/>
      <c r="L17" s="39"/>
    </row>
    <row r="18" spans="1:12" s="649" customFormat="1">
      <c r="A18" s="39"/>
      <c r="B18" s="63"/>
      <c r="C18" s="67"/>
      <c r="D18" s="67"/>
      <c r="E18" s="67"/>
      <c r="F18" s="67"/>
      <c r="G18" s="67"/>
      <c r="H18" s="34"/>
      <c r="I18" s="39"/>
      <c r="J18" s="39"/>
      <c r="K18" s="39"/>
      <c r="L18" s="39"/>
    </row>
    <row r="19" spans="1:12">
      <c r="B19" s="61" t="s">
        <v>16</v>
      </c>
      <c r="C19" s="616" t="str">
        <f>'Bq Pos Jaga5x5'!C23</f>
        <v>Pekerjaan Beton Bertulang</v>
      </c>
      <c r="D19" s="62"/>
      <c r="E19" s="62"/>
      <c r="F19" s="62"/>
      <c r="G19" s="62"/>
      <c r="H19" s="34">
        <f>'BQTPS '!K25</f>
        <v>25030151.125</v>
      </c>
    </row>
    <row r="20" spans="1:12" s="649" customFormat="1">
      <c r="A20" s="39"/>
      <c r="B20" s="63"/>
      <c r="C20" s="64"/>
      <c r="D20" s="37"/>
      <c r="E20" s="37"/>
      <c r="F20" s="37"/>
      <c r="G20" s="37"/>
      <c r="H20" s="65"/>
      <c r="I20" s="39"/>
      <c r="J20" s="39"/>
      <c r="K20" s="39"/>
      <c r="L20" s="39"/>
    </row>
    <row r="21" spans="1:12" s="649" customFormat="1">
      <c r="A21" s="39"/>
      <c r="B21" s="61" t="s">
        <v>19</v>
      </c>
      <c r="C21" s="617" t="str">
        <f>'Bq Pos Jaga5x5'!C30</f>
        <v>Pekerjaan Pasangan Dinding</v>
      </c>
      <c r="D21" s="37"/>
      <c r="E21" s="37"/>
      <c r="F21" s="37"/>
      <c r="G21" s="37"/>
      <c r="H21" s="34">
        <f>'BQTPS '!K30</f>
        <v>41485500</v>
      </c>
      <c r="I21" s="39"/>
      <c r="J21" s="39"/>
      <c r="K21" s="39"/>
      <c r="L21" s="39"/>
    </row>
    <row r="22" spans="1:12" s="649" customFormat="1">
      <c r="A22" s="39"/>
      <c r="B22" s="63"/>
      <c r="C22" s="650"/>
      <c r="D22" s="37"/>
      <c r="E22" s="37"/>
      <c r="F22" s="37"/>
      <c r="G22" s="37"/>
      <c r="H22" s="65"/>
      <c r="I22" s="39"/>
      <c r="J22" s="39"/>
      <c r="K22" s="39"/>
      <c r="L22" s="39"/>
    </row>
    <row r="23" spans="1:12">
      <c r="B23" s="63" t="s">
        <v>22</v>
      </c>
      <c r="C23" s="651" t="str">
        <f>'Bq Pos Jaga5x5'!C33</f>
        <v>Pekerjaan Pelapis Dinding</v>
      </c>
      <c r="D23" s="37"/>
      <c r="E23" s="37"/>
      <c r="F23" s="37"/>
      <c r="G23" s="37"/>
      <c r="H23" s="34">
        <f>'BQTPS '!K35</f>
        <v>13235892.142857144</v>
      </c>
    </row>
    <row r="24" spans="1:12" s="649" customFormat="1">
      <c r="A24" s="39"/>
      <c r="B24" s="63"/>
      <c r="C24" s="36"/>
      <c r="D24" s="37"/>
      <c r="E24" s="37"/>
      <c r="F24" s="37"/>
      <c r="G24" s="37"/>
      <c r="H24" s="34"/>
      <c r="I24" s="39"/>
      <c r="J24" s="39"/>
      <c r="K24" s="39"/>
      <c r="L24" s="39"/>
    </row>
    <row r="25" spans="1:12" s="649" customFormat="1">
      <c r="A25" s="39"/>
      <c r="B25" s="61" t="s">
        <v>25</v>
      </c>
      <c r="C25" s="619" t="str">
        <f>'BQTPS '!C36</f>
        <v>Pekerjaan Atap</v>
      </c>
      <c r="D25" s="37"/>
      <c r="E25" s="37"/>
      <c r="F25" s="37"/>
      <c r="G25" s="37"/>
      <c r="H25" s="34">
        <f>'BQTPS '!K40</f>
        <v>31018500.000000004</v>
      </c>
      <c r="I25" s="39"/>
      <c r="J25" s="39"/>
      <c r="K25" s="39"/>
      <c r="L25" s="39"/>
    </row>
    <row r="26" spans="1:12" s="649" customFormat="1">
      <c r="A26" s="39"/>
      <c r="B26" s="63"/>
      <c r="C26" s="36"/>
      <c r="D26" s="67"/>
      <c r="E26" s="37"/>
      <c r="F26" s="37"/>
      <c r="G26" s="37"/>
      <c r="H26" s="34"/>
      <c r="I26" s="39"/>
      <c r="J26" s="39"/>
      <c r="K26" s="39"/>
      <c r="L26" s="39"/>
    </row>
    <row r="27" spans="1:12">
      <c r="B27" s="61" t="s">
        <v>27</v>
      </c>
      <c r="C27" s="619" t="str">
        <f>'BQTPS '!C41</f>
        <v>Pekerjaan Plafond</v>
      </c>
      <c r="D27" s="37"/>
      <c r="E27" s="37"/>
      <c r="F27" s="37"/>
      <c r="G27" s="37"/>
      <c r="H27" s="34">
        <f>'BQTPS '!K43</f>
        <v>4471200</v>
      </c>
    </row>
    <row r="28" spans="1:12">
      <c r="B28" s="63"/>
      <c r="C28" s="36"/>
      <c r="D28" s="37"/>
      <c r="E28" s="37"/>
      <c r="F28" s="37"/>
      <c r="G28" s="37"/>
      <c r="H28" s="65"/>
    </row>
    <row r="29" spans="1:12">
      <c r="B29" s="61" t="s">
        <v>28</v>
      </c>
      <c r="C29" s="619" t="str">
        <f>'BQTPS '!C44</f>
        <v>Pekerjaan Lantai</v>
      </c>
      <c r="D29" s="37"/>
      <c r="E29" s="37"/>
      <c r="F29" s="37"/>
      <c r="G29" s="37"/>
      <c r="H29" s="34">
        <f>'BQTPS '!K50</f>
        <v>8319102</v>
      </c>
    </row>
    <row r="30" spans="1:12">
      <c r="B30" s="63"/>
      <c r="C30" s="36"/>
      <c r="D30" s="37"/>
      <c r="E30" s="37"/>
      <c r="F30" s="37"/>
      <c r="G30" s="37"/>
      <c r="H30" s="34"/>
    </row>
    <row r="31" spans="1:12">
      <c r="B31" s="61" t="s">
        <v>30</v>
      </c>
      <c r="C31" s="619" t="str">
        <f>'BQTPS '!C52</f>
        <v>Pekerjaan Pintu dan Jendela</v>
      </c>
      <c r="D31" s="37"/>
      <c r="E31" s="37"/>
      <c r="F31" s="37"/>
      <c r="G31" s="37"/>
      <c r="H31" s="34">
        <f>'BQTPS '!K57</f>
        <v>9300000</v>
      </c>
    </row>
    <row r="32" spans="1:12">
      <c r="B32" s="63"/>
      <c r="C32" s="36"/>
      <c r="D32" s="37"/>
      <c r="E32" s="37"/>
      <c r="F32" s="37"/>
      <c r="G32" s="37"/>
      <c r="H32" s="34"/>
    </row>
    <row r="33" spans="2:8">
      <c r="B33" s="61" t="s">
        <v>33</v>
      </c>
      <c r="C33" s="619" t="str">
        <f>'BQTPS '!C58</f>
        <v>Pekerjaan Pengecatan</v>
      </c>
      <c r="D33" s="37"/>
      <c r="E33" s="37"/>
      <c r="F33" s="37"/>
      <c r="G33" s="37"/>
      <c r="H33" s="34">
        <f>'BQTPS '!K61</f>
        <v>5453016.25</v>
      </c>
    </row>
    <row r="34" spans="2:8">
      <c r="B34" s="63"/>
      <c r="C34" s="36"/>
      <c r="D34" s="37"/>
      <c r="E34" s="37"/>
      <c r="F34" s="37"/>
      <c r="G34" s="37"/>
      <c r="H34" s="65"/>
    </row>
    <row r="35" spans="2:8">
      <c r="B35" s="61" t="s">
        <v>34</v>
      </c>
      <c r="C35" s="619" t="str">
        <f>'BQTPS '!C62</f>
        <v>Pekerjaan Instalasi Air</v>
      </c>
      <c r="D35" s="37"/>
      <c r="E35" s="37"/>
      <c r="F35" s="37"/>
      <c r="G35" s="37"/>
      <c r="H35" s="34">
        <f>'BQTPS '!K66</f>
        <v>11000000</v>
      </c>
    </row>
    <row r="36" spans="2:8">
      <c r="B36" s="63"/>
      <c r="C36" s="36"/>
      <c r="D36" s="37"/>
      <c r="E36" s="37"/>
      <c r="F36" s="37"/>
      <c r="G36" s="37"/>
      <c r="H36" s="34"/>
    </row>
    <row r="37" spans="2:8">
      <c r="B37" s="61" t="s">
        <v>36</v>
      </c>
      <c r="C37" s="619" t="str">
        <f>'BQTPS '!C67</f>
        <v>Pekerjaan Instalasi Listrik</v>
      </c>
      <c r="D37" s="37"/>
      <c r="E37" s="37"/>
      <c r="F37" s="37"/>
      <c r="G37" s="37"/>
      <c r="H37" s="34">
        <f>'BQTPS '!K72</f>
        <v>3040000</v>
      </c>
    </row>
    <row r="38" spans="2:8">
      <c r="B38" s="61"/>
      <c r="C38" s="619"/>
      <c r="D38" s="37"/>
      <c r="E38" s="37"/>
      <c r="F38" s="37"/>
      <c r="G38" s="37"/>
      <c r="H38" s="34"/>
    </row>
    <row r="39" spans="2:8">
      <c r="B39" s="61" t="s">
        <v>37</v>
      </c>
      <c r="C39" s="619" t="str">
        <f>'BQTPS '!C74</f>
        <v>Pekerjaan Sanitair</v>
      </c>
      <c r="D39" s="37"/>
      <c r="E39" s="37"/>
      <c r="F39" s="37"/>
      <c r="G39" s="37"/>
      <c r="H39" s="34">
        <f>'BQTPS '!K80</f>
        <v>1745000</v>
      </c>
    </row>
    <row r="40" spans="2:8">
      <c r="B40" s="63"/>
      <c r="C40" s="36"/>
      <c r="D40" s="37"/>
      <c r="E40" s="37"/>
      <c r="F40" s="37"/>
      <c r="G40" s="37"/>
      <c r="H40" s="65"/>
    </row>
    <row r="41" spans="2:8" ht="16.5" thickBot="1">
      <c r="B41" s="69"/>
      <c r="C41" s="70"/>
      <c r="D41" s="70"/>
      <c r="E41" s="70"/>
      <c r="F41" s="70"/>
      <c r="G41" s="70"/>
      <c r="H41" s="71"/>
    </row>
    <row r="42" spans="2:8" ht="17.25" thickTop="1" thickBot="1">
      <c r="B42" s="72"/>
      <c r="C42" s="73"/>
      <c r="D42" s="73"/>
      <c r="E42" s="73"/>
      <c r="F42" s="74" t="s">
        <v>41</v>
      </c>
      <c r="G42" s="74"/>
      <c r="H42" s="75">
        <f>SUM(H15:H41)</f>
        <v>189751611.51785716</v>
      </c>
    </row>
    <row r="43" spans="2:8" ht="16.5" thickTop="1">
      <c r="B43" s="76"/>
      <c r="C43" s="77"/>
      <c r="D43" s="77"/>
      <c r="E43" s="77"/>
      <c r="F43" s="77"/>
      <c r="G43" s="77"/>
      <c r="H43" s="78"/>
    </row>
    <row r="44" spans="2:8">
      <c r="B44" s="79"/>
      <c r="C44" s="56"/>
      <c r="D44" s="56"/>
      <c r="E44" s="58"/>
      <c r="G44" s="43"/>
      <c r="H44" s="80"/>
    </row>
    <row r="45" spans="2:8">
      <c r="B45" s="81"/>
      <c r="C45" s="41"/>
      <c r="E45" s="44"/>
      <c r="H45" s="82"/>
    </row>
    <row r="46" spans="2:8">
      <c r="B46" s="81"/>
      <c r="C46" s="41"/>
      <c r="E46" s="44"/>
      <c r="H46" s="652"/>
    </row>
    <row r="47" spans="2:8" ht="16.5" thickBot="1">
      <c r="B47" s="84"/>
      <c r="C47" s="85"/>
      <c r="D47" s="85"/>
      <c r="E47" s="85"/>
      <c r="F47" s="85"/>
      <c r="G47" s="85"/>
      <c r="H47" s="86"/>
    </row>
    <row r="48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87967-6E88-442F-8A67-FF14489977EE}">
  <dimension ref="A1:P137"/>
  <sheetViews>
    <sheetView topLeftCell="A49" workbookViewId="0">
      <selection activeCell="F9" sqref="F9"/>
    </sheetView>
  </sheetViews>
  <sheetFormatPr defaultColWidth="9.140625" defaultRowHeight="12.75"/>
  <cols>
    <col min="1" max="1" width="6.5703125" style="255" customWidth="1"/>
    <col min="2" max="2" width="6.42578125" style="255" customWidth="1"/>
    <col min="3" max="7" width="8.7109375" style="255" customWidth="1"/>
    <col min="8" max="8" width="9.7109375" style="371" customWidth="1"/>
    <col min="9" max="9" width="9.7109375" style="255" customWidth="1"/>
    <col min="10" max="10" width="14.7109375" style="255" customWidth="1"/>
    <col min="11" max="11" width="14.7109375" style="653" customWidth="1"/>
    <col min="12" max="14" width="5.28515625" style="255" customWidth="1"/>
    <col min="15" max="15" width="7.5703125" style="255" customWidth="1"/>
    <col min="16" max="16" width="11" style="255" bestFit="1" customWidth="1"/>
    <col min="17" max="16384" width="9.140625" style="255"/>
  </cols>
  <sheetData>
    <row r="1" spans="2:15" ht="15.75">
      <c r="B1" s="4" t="s">
        <v>0</v>
      </c>
    </row>
    <row r="2" spans="2:15" ht="15.75">
      <c r="B2" s="420" t="s">
        <v>615</v>
      </c>
      <c r="C2" s="654"/>
      <c r="D2" s="654"/>
      <c r="E2" s="654"/>
      <c r="F2" s="654"/>
      <c r="G2" s="654"/>
      <c r="H2" s="655"/>
      <c r="I2" s="654"/>
      <c r="J2" s="654"/>
      <c r="K2" s="656"/>
      <c r="L2" s="654"/>
      <c r="M2" s="654"/>
      <c r="N2" s="654"/>
      <c r="O2" s="654"/>
    </row>
    <row r="3" spans="2:15" ht="15.75">
      <c r="B3" s="7" t="s">
        <v>1</v>
      </c>
      <c r="C3" s="654"/>
      <c r="D3" s="654"/>
      <c r="E3" s="654"/>
      <c r="F3" s="654"/>
      <c r="G3" s="654"/>
      <c r="H3" s="655"/>
      <c r="I3" s="654"/>
      <c r="J3" s="654"/>
      <c r="K3" s="656"/>
      <c r="L3" s="654"/>
      <c r="M3" s="654"/>
      <c r="N3" s="654"/>
      <c r="O3" s="654"/>
    </row>
    <row r="4" spans="2:15" ht="15.75">
      <c r="B4" s="4" t="s">
        <v>2</v>
      </c>
      <c r="C4" s="654"/>
      <c r="D4" s="654"/>
      <c r="E4" s="654"/>
      <c r="F4" s="654"/>
      <c r="G4" s="654"/>
      <c r="H4" s="655"/>
      <c r="I4" s="654"/>
      <c r="J4" s="654"/>
      <c r="K4" s="656"/>
      <c r="L4" s="654"/>
      <c r="M4" s="654"/>
      <c r="N4" s="654"/>
      <c r="O4" s="654"/>
    </row>
    <row r="5" spans="2:15" ht="15.75">
      <c r="B5" s="7" t="s">
        <v>3</v>
      </c>
      <c r="C5" s="654"/>
      <c r="D5" s="654"/>
      <c r="E5" s="654"/>
      <c r="F5" s="654"/>
      <c r="G5" s="654"/>
      <c r="H5" s="655"/>
      <c r="I5" s="654"/>
      <c r="J5" s="654"/>
      <c r="K5" s="656"/>
      <c r="L5" s="654"/>
      <c r="M5" s="654"/>
      <c r="N5" s="654"/>
      <c r="O5" s="654"/>
    </row>
    <row r="6" spans="2:15" ht="16.5" thickBot="1">
      <c r="B6" s="657"/>
      <c r="C6" s="654"/>
      <c r="D6" s="654"/>
      <c r="E6" s="654"/>
      <c r="F6" s="654"/>
      <c r="G6" s="654"/>
      <c r="H6" s="655"/>
      <c r="I6" s="1136" t="str">
        <f>'22SUMTPS'!F8</f>
        <v>No. 022/RAB-Blok A-SSBP/I/2021</v>
      </c>
      <c r="J6" s="1136"/>
      <c r="K6" s="1136"/>
      <c r="L6" s="654"/>
      <c r="M6" s="654"/>
      <c r="N6" s="654"/>
      <c r="O6" s="654"/>
    </row>
    <row r="7" spans="2:15" ht="16.5" thickTop="1">
      <c r="B7" s="8"/>
      <c r="C7" s="9"/>
      <c r="D7" s="9"/>
      <c r="E7" s="9"/>
      <c r="F7" s="9"/>
      <c r="G7" s="9"/>
      <c r="H7" s="10"/>
      <c r="I7" s="11"/>
      <c r="J7" s="12" t="s">
        <v>4</v>
      </c>
      <c r="K7" s="620" t="s">
        <v>5</v>
      </c>
      <c r="L7" s="658"/>
      <c r="M7" s="658"/>
      <c r="N7" s="658"/>
      <c r="O7" s="658"/>
    </row>
    <row r="8" spans="2:15" ht="15.75">
      <c r="B8" s="14" t="s">
        <v>6</v>
      </c>
      <c r="C8" s="15" t="s">
        <v>7</v>
      </c>
      <c r="D8" s="15"/>
      <c r="E8" s="15"/>
      <c r="F8" s="15"/>
      <c r="G8" s="15"/>
      <c r="H8" s="16" t="s">
        <v>8</v>
      </c>
      <c r="I8" s="17" t="s">
        <v>9</v>
      </c>
      <c r="J8" s="18" t="s">
        <v>8</v>
      </c>
      <c r="K8" s="621" t="s">
        <v>4</v>
      </c>
      <c r="L8" s="371"/>
      <c r="M8" s="371"/>
      <c r="N8" s="371"/>
      <c r="O8" s="371"/>
    </row>
    <row r="9" spans="2:15" ht="16.5" thickBot="1">
      <c r="B9" s="20"/>
      <c r="C9" s="21"/>
      <c r="D9" s="21"/>
      <c r="E9" s="21"/>
      <c r="F9" s="21"/>
      <c r="G9" s="21"/>
      <c r="H9" s="22"/>
      <c r="I9" s="23"/>
      <c r="J9" s="24" t="s">
        <v>10</v>
      </c>
      <c r="K9" s="622" t="s">
        <v>10</v>
      </c>
      <c r="L9" s="371"/>
      <c r="M9" s="371"/>
      <c r="N9" s="371"/>
      <c r="O9" s="371"/>
    </row>
    <row r="10" spans="2:15" ht="16.5" thickTop="1">
      <c r="B10" s="659" t="s">
        <v>339</v>
      </c>
      <c r="C10" s="660" t="s">
        <v>553</v>
      </c>
      <c r="D10" s="661"/>
      <c r="E10" s="661"/>
      <c r="F10" s="661"/>
      <c r="G10" s="662"/>
      <c r="H10" s="663"/>
      <c r="I10" s="664"/>
      <c r="J10" s="662"/>
      <c r="K10" s="665"/>
      <c r="L10" s="666"/>
      <c r="M10" s="666"/>
      <c r="N10" s="666"/>
      <c r="O10" s="666"/>
    </row>
    <row r="11" spans="2:15" ht="15.75">
      <c r="B11" s="421">
        <v>1</v>
      </c>
      <c r="C11" s="434" t="s">
        <v>343</v>
      </c>
      <c r="D11" s="415"/>
      <c r="E11" s="415"/>
      <c r="F11" s="415"/>
      <c r="G11" s="435"/>
      <c r="H11" s="272" t="s">
        <v>24</v>
      </c>
      <c r="I11" s="667">
        <v>36</v>
      </c>
      <c r="J11" s="668">
        <v>50000</v>
      </c>
      <c r="K11" s="669">
        <f t="shared" ref="K11:K65" si="0">J11*I11</f>
        <v>1800000</v>
      </c>
    </row>
    <row r="12" spans="2:15" ht="15.75">
      <c r="B12" s="421">
        <f t="shared" ref="B12:B14" si="1">B11+1</f>
        <v>2</v>
      </c>
      <c r="C12" s="434" t="s">
        <v>345</v>
      </c>
      <c r="D12" s="415"/>
      <c r="E12" s="415"/>
      <c r="F12" s="415"/>
      <c r="G12" s="435"/>
      <c r="H12" s="272" t="s">
        <v>18</v>
      </c>
      <c r="I12" s="667">
        <v>1</v>
      </c>
      <c r="J12" s="668">
        <v>500000</v>
      </c>
      <c r="K12" s="669">
        <f t="shared" si="0"/>
        <v>500000</v>
      </c>
    </row>
    <row r="13" spans="2:15" ht="15.75">
      <c r="B13" s="421">
        <f t="shared" si="1"/>
        <v>3</v>
      </c>
      <c r="C13" s="434" t="s">
        <v>346</v>
      </c>
      <c r="D13" s="415"/>
      <c r="E13" s="415"/>
      <c r="F13" s="415"/>
      <c r="G13" s="435"/>
      <c r="H13" s="272" t="s">
        <v>18</v>
      </c>
      <c r="I13" s="667">
        <v>1</v>
      </c>
      <c r="J13" s="668">
        <v>1000000</v>
      </c>
      <c r="K13" s="669">
        <f t="shared" si="0"/>
        <v>1000000</v>
      </c>
    </row>
    <row r="14" spans="2:15" ht="15.75">
      <c r="B14" s="421">
        <f t="shared" si="1"/>
        <v>4</v>
      </c>
      <c r="C14" s="434" t="s">
        <v>347</v>
      </c>
      <c r="D14" s="415"/>
      <c r="E14" s="415"/>
      <c r="F14" s="415"/>
      <c r="G14" s="435"/>
      <c r="H14" s="272" t="s">
        <v>18</v>
      </c>
      <c r="I14" s="667">
        <v>1</v>
      </c>
      <c r="J14" s="668">
        <v>2500000</v>
      </c>
      <c r="K14" s="669">
        <f t="shared" si="0"/>
        <v>2500000</v>
      </c>
    </row>
    <row r="15" spans="2:15" ht="15.75">
      <c r="B15" s="438"/>
      <c r="C15" s="434"/>
      <c r="D15" s="415"/>
      <c r="E15" s="415"/>
      <c r="F15" s="415"/>
      <c r="G15" s="435"/>
      <c r="H15" s="272"/>
      <c r="I15" s="667"/>
      <c r="J15" s="630" t="s">
        <v>348</v>
      </c>
      <c r="K15" s="670">
        <f>SUM(K11:K14)</f>
        <v>5800000</v>
      </c>
    </row>
    <row r="16" spans="2:15" ht="15.75">
      <c r="B16" s="428" t="s">
        <v>349</v>
      </c>
      <c r="C16" s="429" t="s">
        <v>505</v>
      </c>
      <c r="D16" s="377"/>
      <c r="E16" s="377"/>
      <c r="F16" s="377"/>
      <c r="G16" s="430"/>
      <c r="H16" s="272"/>
      <c r="I16" s="667"/>
      <c r="J16" s="668"/>
      <c r="K16" s="669"/>
      <c r="L16" s="666"/>
      <c r="M16" s="666"/>
      <c r="N16" s="666"/>
      <c r="O16" s="666"/>
    </row>
    <row r="17" spans="2:15" ht="15.75">
      <c r="B17" s="421">
        <v>1</v>
      </c>
      <c r="C17" s="434" t="s">
        <v>554</v>
      </c>
      <c r="D17" s="415"/>
      <c r="E17" s="415"/>
      <c r="F17" s="415"/>
      <c r="G17" s="435"/>
      <c r="H17" s="272" t="s">
        <v>15</v>
      </c>
      <c r="I17" s="667">
        <v>49</v>
      </c>
      <c r="J17" s="668">
        <v>150000</v>
      </c>
      <c r="K17" s="669">
        <f t="shared" si="0"/>
        <v>7350000</v>
      </c>
    </row>
    <row r="18" spans="2:15" ht="15.75">
      <c r="B18" s="421">
        <f>B17+1</f>
        <v>2</v>
      </c>
      <c r="C18" s="434" t="s">
        <v>352</v>
      </c>
      <c r="D18" s="415"/>
      <c r="E18" s="415"/>
      <c r="F18" s="415"/>
      <c r="G18" s="435"/>
      <c r="H18" s="272" t="s">
        <v>15</v>
      </c>
      <c r="I18" s="667">
        <v>2.4500000000000002</v>
      </c>
      <c r="J18" s="668">
        <v>310000</v>
      </c>
      <c r="K18" s="669">
        <f t="shared" si="0"/>
        <v>759500</v>
      </c>
    </row>
    <row r="19" spans="2:15" ht="15.75">
      <c r="B19" s="421">
        <f t="shared" ref="B19" si="2">B18+1</f>
        <v>3</v>
      </c>
      <c r="C19" s="434" t="s">
        <v>211</v>
      </c>
      <c r="D19" s="415"/>
      <c r="E19" s="415"/>
      <c r="F19" s="415"/>
      <c r="G19" s="435"/>
      <c r="H19" s="272" t="s">
        <v>15</v>
      </c>
      <c r="I19" s="667">
        <v>24.5</v>
      </c>
      <c r="J19" s="668">
        <v>887500</v>
      </c>
      <c r="K19" s="669">
        <f t="shared" si="0"/>
        <v>21743750</v>
      </c>
    </row>
    <row r="20" spans="2:15" ht="15.75">
      <c r="B20" s="421"/>
      <c r="C20" s="434"/>
      <c r="D20" s="415"/>
      <c r="E20" s="415"/>
      <c r="F20" s="415"/>
      <c r="G20" s="435"/>
      <c r="H20" s="272"/>
      <c r="I20" s="667"/>
      <c r="J20" s="630" t="s">
        <v>353</v>
      </c>
      <c r="K20" s="670">
        <f>SUM(K17:K19)</f>
        <v>29853250</v>
      </c>
    </row>
    <row r="21" spans="2:15" ht="15.75">
      <c r="B21" s="428" t="s">
        <v>354</v>
      </c>
      <c r="C21" s="429" t="s">
        <v>555</v>
      </c>
      <c r="D21" s="377"/>
      <c r="E21" s="377"/>
      <c r="F21" s="377"/>
      <c r="G21" s="430"/>
      <c r="H21" s="272"/>
      <c r="I21" s="667"/>
      <c r="J21" s="668"/>
      <c r="K21" s="669"/>
      <c r="L21" s="666"/>
      <c r="M21" s="666"/>
      <c r="N21" s="666"/>
      <c r="O21" s="666"/>
    </row>
    <row r="22" spans="2:15" ht="15.75">
      <c r="B22" s="421">
        <v>1</v>
      </c>
      <c r="C22" s="434" t="s">
        <v>556</v>
      </c>
      <c r="D22" s="415"/>
      <c r="E22" s="415"/>
      <c r="F22" s="415"/>
      <c r="G22" s="435"/>
      <c r="H22" s="272" t="s">
        <v>15</v>
      </c>
      <c r="I22" s="667">
        <v>1.1025</v>
      </c>
      <c r="J22" s="668">
        <v>5809144.444444444</v>
      </c>
      <c r="K22" s="669">
        <f t="shared" si="0"/>
        <v>6404581.75</v>
      </c>
    </row>
    <row r="23" spans="2:15" ht="15.75">
      <c r="B23" s="421">
        <v>2</v>
      </c>
      <c r="C23" s="434" t="s">
        <v>557</v>
      </c>
      <c r="D23" s="415"/>
      <c r="E23" s="415"/>
      <c r="F23" s="415"/>
      <c r="G23" s="435"/>
      <c r="H23" s="272" t="s">
        <v>15</v>
      </c>
      <c r="I23" s="667">
        <v>2.1037499999999998</v>
      </c>
      <c r="J23" s="668">
        <v>5809144.444444444</v>
      </c>
      <c r="K23" s="669">
        <f t="shared" si="0"/>
        <v>12220987.624999998</v>
      </c>
    </row>
    <row r="24" spans="2:15" ht="15.75">
      <c r="B24" s="421">
        <f t="shared" ref="B24" si="3">B23+1</f>
        <v>3</v>
      </c>
      <c r="C24" s="434" t="s">
        <v>558</v>
      </c>
      <c r="D24" s="415"/>
      <c r="E24" s="415"/>
      <c r="F24" s="415"/>
      <c r="G24" s="435"/>
      <c r="H24" s="272" t="s">
        <v>254</v>
      </c>
      <c r="I24" s="667">
        <v>1.1025</v>
      </c>
      <c r="J24" s="668">
        <v>5809144.444444444</v>
      </c>
      <c r="K24" s="669">
        <f t="shared" si="0"/>
        <v>6404581.75</v>
      </c>
    </row>
    <row r="25" spans="2:15" ht="15.75">
      <c r="B25" s="438"/>
      <c r="C25" s="434"/>
      <c r="D25" s="415"/>
      <c r="E25" s="415"/>
      <c r="F25" s="415"/>
      <c r="G25" s="435"/>
      <c r="H25" s="272"/>
      <c r="I25" s="667"/>
      <c r="J25" s="630" t="s">
        <v>358</v>
      </c>
      <c r="K25" s="670">
        <f>SUM(K22:K24)</f>
        <v>25030151.125</v>
      </c>
    </row>
    <row r="26" spans="2:15" ht="15.75">
      <c r="B26" s="421"/>
      <c r="C26" s="434"/>
      <c r="D26" s="415"/>
      <c r="E26" s="415"/>
      <c r="F26" s="415"/>
      <c r="G26" s="435"/>
      <c r="H26" s="272"/>
      <c r="I26" s="667"/>
      <c r="J26" s="668"/>
      <c r="K26" s="669"/>
    </row>
    <row r="27" spans="2:15" ht="15.75">
      <c r="B27" s="428" t="s">
        <v>359</v>
      </c>
      <c r="C27" s="429" t="s">
        <v>26</v>
      </c>
      <c r="D27" s="377"/>
      <c r="E27" s="377"/>
      <c r="F27" s="377"/>
      <c r="G27" s="430"/>
      <c r="H27" s="272"/>
      <c r="I27" s="667"/>
      <c r="J27" s="668"/>
      <c r="K27" s="669"/>
      <c r="L27" s="666"/>
      <c r="M27" s="666"/>
      <c r="N27" s="666"/>
      <c r="O27" s="666"/>
    </row>
    <row r="28" spans="2:15" ht="15.75">
      <c r="B28" s="421">
        <v>1</v>
      </c>
      <c r="C28" s="434" t="s">
        <v>559</v>
      </c>
      <c r="D28" s="415"/>
      <c r="E28" s="415"/>
      <c r="F28" s="415"/>
      <c r="G28" s="435"/>
      <c r="H28" s="272" t="s">
        <v>14</v>
      </c>
      <c r="I28" s="667">
        <v>115</v>
      </c>
      <c r="J28" s="668">
        <v>272700</v>
      </c>
      <c r="K28" s="669">
        <f t="shared" si="0"/>
        <v>31360500</v>
      </c>
    </row>
    <row r="29" spans="2:15" ht="15.75">
      <c r="B29" s="421">
        <f>B28+1</f>
        <v>2</v>
      </c>
      <c r="C29" s="434" t="s">
        <v>560</v>
      </c>
      <c r="D29" s="415"/>
      <c r="E29" s="415"/>
      <c r="F29" s="415"/>
      <c r="G29" s="435"/>
      <c r="H29" s="272" t="s">
        <v>14</v>
      </c>
      <c r="I29" s="667">
        <v>40.5</v>
      </c>
      <c r="J29" s="668">
        <v>250000</v>
      </c>
      <c r="K29" s="669">
        <f t="shared" si="0"/>
        <v>10125000</v>
      </c>
    </row>
    <row r="30" spans="2:15" ht="15.75">
      <c r="B30" s="421"/>
      <c r="C30" s="434"/>
      <c r="D30" s="415"/>
      <c r="E30" s="415"/>
      <c r="F30" s="415"/>
      <c r="G30" s="435"/>
      <c r="H30" s="272"/>
      <c r="I30" s="667"/>
      <c r="J30" s="630" t="s">
        <v>361</v>
      </c>
      <c r="K30" s="670">
        <f>SUM(K28:K29)</f>
        <v>41485500</v>
      </c>
    </row>
    <row r="31" spans="2:15" ht="15.75">
      <c r="B31" s="428" t="s">
        <v>362</v>
      </c>
      <c r="C31" s="429" t="s">
        <v>537</v>
      </c>
      <c r="D31" s="377"/>
      <c r="E31" s="377"/>
      <c r="F31" s="377"/>
      <c r="G31" s="430"/>
      <c r="H31" s="272"/>
      <c r="I31" s="667"/>
      <c r="J31" s="668"/>
      <c r="K31" s="669"/>
      <c r="L31" s="666"/>
      <c r="M31" s="666"/>
      <c r="N31" s="666"/>
      <c r="O31" s="666"/>
    </row>
    <row r="32" spans="2:15" ht="15.75">
      <c r="B32" s="421">
        <v>1</v>
      </c>
      <c r="C32" s="434" t="s">
        <v>364</v>
      </c>
      <c r="D32" s="415"/>
      <c r="E32" s="415"/>
      <c r="F32" s="415"/>
      <c r="G32" s="435"/>
      <c r="H32" s="272" t="s">
        <v>14</v>
      </c>
      <c r="I32" s="667">
        <v>115</v>
      </c>
      <c r="J32" s="668">
        <v>86318.571428571435</v>
      </c>
      <c r="K32" s="669">
        <f t="shared" si="0"/>
        <v>9926635.7142857146</v>
      </c>
    </row>
    <row r="33" spans="2:15" ht="15.75">
      <c r="B33" s="421">
        <v>2</v>
      </c>
      <c r="C33" s="434" t="s">
        <v>561</v>
      </c>
      <c r="D33" s="415"/>
      <c r="E33" s="415"/>
      <c r="F33" s="415"/>
      <c r="G33" s="435"/>
      <c r="H33" s="272" t="s">
        <v>14</v>
      </c>
      <c r="I33" s="667">
        <v>16.5</v>
      </c>
      <c r="J33" s="668">
        <v>86318.571428571435</v>
      </c>
      <c r="K33" s="669">
        <f t="shared" si="0"/>
        <v>1424256.4285714286</v>
      </c>
    </row>
    <row r="34" spans="2:15" ht="15.75">
      <c r="B34" s="421">
        <f t="shared" ref="B34" si="4">B33+1</f>
        <v>3</v>
      </c>
      <c r="C34" s="434" t="s">
        <v>284</v>
      </c>
      <c r="D34" s="415"/>
      <c r="E34" s="415"/>
      <c r="F34" s="415"/>
      <c r="G34" s="435"/>
      <c r="H34" s="272" t="s">
        <v>14</v>
      </c>
      <c r="I34" s="667">
        <v>13</v>
      </c>
      <c r="J34" s="668">
        <v>145000</v>
      </c>
      <c r="K34" s="669">
        <f t="shared" si="0"/>
        <v>1885000</v>
      </c>
    </row>
    <row r="35" spans="2:15" ht="15.75">
      <c r="B35" s="671"/>
      <c r="C35" s="434"/>
      <c r="D35" s="415"/>
      <c r="E35" s="415"/>
      <c r="F35" s="415"/>
      <c r="G35" s="435"/>
      <c r="H35" s="272"/>
      <c r="I35" s="667"/>
      <c r="J35" s="630" t="s">
        <v>365</v>
      </c>
      <c r="K35" s="670">
        <f>SUM(K32:K34)</f>
        <v>13235892.142857144</v>
      </c>
    </row>
    <row r="36" spans="2:15" ht="15.75">
      <c r="B36" s="449" t="s">
        <v>366</v>
      </c>
      <c r="C36" s="429" t="s">
        <v>23</v>
      </c>
      <c r="D36" s="377"/>
      <c r="E36" s="377"/>
      <c r="F36" s="377"/>
      <c r="G36" s="430"/>
      <c r="H36" s="272"/>
      <c r="I36" s="667"/>
      <c r="J36" s="668"/>
      <c r="K36" s="669"/>
      <c r="L36" s="666"/>
      <c r="M36" s="666"/>
      <c r="N36" s="666"/>
      <c r="O36" s="666"/>
    </row>
    <row r="37" spans="2:15" ht="15.75">
      <c r="B37" s="421">
        <v>1</v>
      </c>
      <c r="C37" s="434" t="s">
        <v>562</v>
      </c>
      <c r="D37" s="415"/>
      <c r="E37" s="415"/>
      <c r="F37" s="415"/>
      <c r="G37" s="435"/>
      <c r="H37" s="272" t="s">
        <v>14</v>
      </c>
      <c r="I37" s="667">
        <v>79.100000000000009</v>
      </c>
      <c r="J37" s="668">
        <v>175000</v>
      </c>
      <c r="K37" s="669">
        <f t="shared" si="0"/>
        <v>13842500.000000002</v>
      </c>
    </row>
    <row r="38" spans="2:15" ht="15.75">
      <c r="B38" s="421">
        <f>B37+1</f>
        <v>2</v>
      </c>
      <c r="C38" s="434" t="s">
        <v>563</v>
      </c>
      <c r="D38" s="415"/>
      <c r="E38" s="415"/>
      <c r="F38" s="415"/>
      <c r="G38" s="435"/>
      <c r="H38" s="272" t="s">
        <v>14</v>
      </c>
      <c r="I38" s="667">
        <v>79.100000000000009</v>
      </c>
      <c r="J38" s="668">
        <v>210000</v>
      </c>
      <c r="K38" s="669">
        <f t="shared" si="0"/>
        <v>16611000.000000002</v>
      </c>
    </row>
    <row r="39" spans="2:15" ht="15.75">
      <c r="B39" s="421">
        <v>3</v>
      </c>
      <c r="C39" s="434" t="s">
        <v>564</v>
      </c>
      <c r="D39" s="415"/>
      <c r="E39" s="415"/>
      <c r="F39" s="415"/>
      <c r="G39" s="435"/>
      <c r="H39" s="272" t="s">
        <v>29</v>
      </c>
      <c r="I39" s="667">
        <v>11.3</v>
      </c>
      <c r="J39" s="668">
        <v>50000</v>
      </c>
      <c r="K39" s="669">
        <f t="shared" si="0"/>
        <v>565000</v>
      </c>
    </row>
    <row r="40" spans="2:15" ht="15.75">
      <c r="B40" s="421"/>
      <c r="C40" s="434"/>
      <c r="D40" s="415"/>
      <c r="E40" s="415"/>
      <c r="F40" s="415"/>
      <c r="G40" s="435"/>
      <c r="H40" s="272"/>
      <c r="I40" s="667"/>
      <c r="J40" s="630" t="s">
        <v>368</v>
      </c>
      <c r="K40" s="670">
        <f>SUM(K37:K39)</f>
        <v>31018500.000000004</v>
      </c>
    </row>
    <row r="41" spans="2:15" ht="15.75">
      <c r="B41" s="428" t="s">
        <v>369</v>
      </c>
      <c r="C41" s="429" t="s">
        <v>565</v>
      </c>
      <c r="D41" s="377"/>
      <c r="E41" s="377"/>
      <c r="F41" s="377"/>
      <c r="G41" s="430"/>
      <c r="H41" s="272"/>
      <c r="I41" s="667"/>
      <c r="J41" s="668"/>
      <c r="K41" s="669"/>
      <c r="L41" s="666"/>
      <c r="M41" s="666"/>
      <c r="N41" s="666"/>
      <c r="O41" s="666"/>
    </row>
    <row r="42" spans="2:15" ht="15.75">
      <c r="B42" s="438">
        <v>1</v>
      </c>
      <c r="C42" s="434" t="s">
        <v>35</v>
      </c>
      <c r="D42" s="415"/>
      <c r="E42" s="415"/>
      <c r="F42" s="415"/>
      <c r="G42" s="435"/>
      <c r="H42" s="272" t="s">
        <v>566</v>
      </c>
      <c r="I42" s="667">
        <v>30.375</v>
      </c>
      <c r="J42" s="668">
        <v>147200</v>
      </c>
      <c r="K42" s="669">
        <f t="shared" si="0"/>
        <v>4471200</v>
      </c>
    </row>
    <row r="43" spans="2:15" ht="15.75">
      <c r="B43" s="421"/>
      <c r="C43" s="434"/>
      <c r="D43" s="415"/>
      <c r="E43" s="415"/>
      <c r="F43" s="415"/>
      <c r="G43" s="435"/>
      <c r="H43" s="272"/>
      <c r="I43" s="667"/>
      <c r="J43" s="630" t="s">
        <v>371</v>
      </c>
      <c r="K43" s="670">
        <f>SUM(K42)</f>
        <v>4471200</v>
      </c>
    </row>
    <row r="44" spans="2:15" ht="15.75">
      <c r="B44" s="449" t="s">
        <v>372</v>
      </c>
      <c r="C44" s="429" t="s">
        <v>567</v>
      </c>
      <c r="D44" s="377"/>
      <c r="E44" s="377"/>
      <c r="F44" s="377"/>
      <c r="G44" s="430"/>
      <c r="H44" s="272"/>
      <c r="I44" s="667"/>
      <c r="J44" s="668"/>
      <c r="K44" s="669"/>
      <c r="L44" s="666"/>
      <c r="M44" s="666"/>
      <c r="N44" s="666"/>
      <c r="O44" s="666"/>
    </row>
    <row r="45" spans="2:15" ht="15.75">
      <c r="B45" s="421">
        <v>1</v>
      </c>
      <c r="C45" s="434" t="s">
        <v>374</v>
      </c>
      <c r="D45" s="415"/>
      <c r="E45" s="415"/>
      <c r="F45" s="415"/>
      <c r="G45" s="435"/>
      <c r="H45" s="272" t="s">
        <v>566</v>
      </c>
      <c r="I45" s="667">
        <v>60</v>
      </c>
      <c r="J45" s="668">
        <v>10000</v>
      </c>
      <c r="K45" s="669">
        <f t="shared" si="0"/>
        <v>600000</v>
      </c>
    </row>
    <row r="46" spans="2:15" ht="15.75">
      <c r="B46" s="421">
        <v>2</v>
      </c>
      <c r="C46" s="434" t="s">
        <v>375</v>
      </c>
      <c r="D46" s="415"/>
      <c r="E46" s="415"/>
      <c r="F46" s="415"/>
      <c r="G46" s="435"/>
      <c r="H46" s="272" t="s">
        <v>568</v>
      </c>
      <c r="I46" s="667">
        <v>1.7999999999999998</v>
      </c>
      <c r="J46" s="668">
        <v>310000</v>
      </c>
      <c r="K46" s="669">
        <f t="shared" si="0"/>
        <v>558000</v>
      </c>
    </row>
    <row r="47" spans="2:15" ht="15.75">
      <c r="B47" s="438">
        <v>3</v>
      </c>
      <c r="C47" s="450" t="s">
        <v>569</v>
      </c>
      <c r="D47" s="451"/>
      <c r="E47" s="451"/>
      <c r="F47" s="451"/>
      <c r="G47" s="452"/>
      <c r="H47" s="272" t="s">
        <v>568</v>
      </c>
      <c r="I47" s="667">
        <v>1.7999999999999998</v>
      </c>
      <c r="J47" s="668">
        <v>813980</v>
      </c>
      <c r="K47" s="669">
        <f t="shared" si="0"/>
        <v>1465163.9999999998</v>
      </c>
      <c r="L47" s="672"/>
      <c r="M47" s="672"/>
      <c r="N47" s="672"/>
      <c r="O47" s="672"/>
    </row>
    <row r="48" spans="2:15" ht="15.75">
      <c r="B48" s="421">
        <v>4</v>
      </c>
      <c r="C48" s="434" t="s">
        <v>376</v>
      </c>
      <c r="D48" s="415"/>
      <c r="E48" s="415"/>
      <c r="F48" s="415"/>
      <c r="G48" s="435"/>
      <c r="H48" s="272"/>
      <c r="I48" s="667"/>
      <c r="J48" s="668"/>
      <c r="K48" s="669"/>
    </row>
    <row r="49" spans="1:16" ht="15.75">
      <c r="B49" s="421"/>
      <c r="C49" s="434" t="s">
        <v>293</v>
      </c>
      <c r="D49" s="415"/>
      <c r="E49" s="415"/>
      <c r="F49" s="415"/>
      <c r="G49" s="435"/>
      <c r="H49" s="272" t="s">
        <v>566</v>
      </c>
      <c r="I49" s="667">
        <v>40.200000000000003</v>
      </c>
      <c r="J49" s="668">
        <v>141690</v>
      </c>
      <c r="K49" s="669">
        <f t="shared" si="0"/>
        <v>5695938</v>
      </c>
    </row>
    <row r="50" spans="1:16" ht="15.75">
      <c r="A50" s="673"/>
      <c r="B50" s="421"/>
      <c r="C50" s="434"/>
      <c r="D50" s="415"/>
      <c r="E50" s="415"/>
      <c r="F50" s="415"/>
      <c r="G50" s="435"/>
      <c r="H50" s="272"/>
      <c r="I50" s="667"/>
      <c r="J50" s="630" t="s">
        <v>377</v>
      </c>
      <c r="K50" s="670">
        <f>SUM(K45:K49)</f>
        <v>8319102</v>
      </c>
    </row>
    <row r="51" spans="1:16" ht="15.75">
      <c r="B51" s="421"/>
      <c r="C51" s="434"/>
      <c r="D51" s="415"/>
      <c r="E51" s="415"/>
      <c r="F51" s="415"/>
      <c r="G51" s="435"/>
      <c r="H51" s="272"/>
      <c r="I51" s="667"/>
      <c r="J51" s="668"/>
      <c r="K51" s="669"/>
    </row>
    <row r="52" spans="1:16" ht="15.75">
      <c r="A52" s="672"/>
      <c r="B52" s="428" t="s">
        <v>378</v>
      </c>
      <c r="C52" s="429" t="s">
        <v>570</v>
      </c>
      <c r="D52" s="377"/>
      <c r="E52" s="377"/>
      <c r="F52" s="377"/>
      <c r="G52" s="430"/>
      <c r="H52" s="272"/>
      <c r="I52" s="667"/>
      <c r="J52" s="668"/>
      <c r="K52" s="669"/>
      <c r="L52" s="666"/>
      <c r="M52" s="666"/>
      <c r="N52" s="666"/>
      <c r="O52" s="666"/>
    </row>
    <row r="53" spans="1:16" ht="15.75">
      <c r="B53" s="421">
        <v>1</v>
      </c>
      <c r="C53" s="434" t="s">
        <v>571</v>
      </c>
      <c r="D53" s="415"/>
      <c r="E53" s="415"/>
      <c r="F53" s="415"/>
      <c r="G53" s="435"/>
      <c r="H53" s="272" t="s">
        <v>380</v>
      </c>
      <c r="I53" s="667">
        <v>1</v>
      </c>
      <c r="J53" s="668">
        <v>450000</v>
      </c>
      <c r="K53" s="669">
        <f t="shared" si="0"/>
        <v>450000</v>
      </c>
    </row>
    <row r="54" spans="1:16" ht="15.75">
      <c r="B54" s="421">
        <v>2</v>
      </c>
      <c r="C54" s="434" t="s">
        <v>572</v>
      </c>
      <c r="D54" s="415"/>
      <c r="E54" s="415"/>
      <c r="F54" s="415"/>
      <c r="G54" s="435"/>
      <c r="H54" s="272" t="s">
        <v>380</v>
      </c>
      <c r="I54" s="667">
        <v>2</v>
      </c>
      <c r="J54" s="668">
        <v>2750000</v>
      </c>
      <c r="K54" s="669">
        <f t="shared" si="0"/>
        <v>5500000</v>
      </c>
    </row>
    <row r="55" spans="1:16" ht="15.75">
      <c r="B55" s="421">
        <f>B54+1</f>
        <v>3</v>
      </c>
      <c r="C55" s="434" t="s">
        <v>573</v>
      </c>
      <c r="D55" s="415"/>
      <c r="E55" s="415"/>
      <c r="F55" s="415"/>
      <c r="G55" s="435"/>
      <c r="H55" s="272" t="s">
        <v>380</v>
      </c>
      <c r="I55" s="667">
        <v>2</v>
      </c>
      <c r="J55" s="668">
        <v>1300000</v>
      </c>
      <c r="K55" s="669">
        <f t="shared" si="0"/>
        <v>2600000</v>
      </c>
    </row>
    <row r="56" spans="1:16" ht="15.75">
      <c r="A56" s="672"/>
      <c r="B56" s="421">
        <f>B55+1</f>
        <v>4</v>
      </c>
      <c r="C56" s="434" t="s">
        <v>574</v>
      </c>
      <c r="D56" s="415"/>
      <c r="E56" s="415"/>
      <c r="F56" s="415"/>
      <c r="G56" s="435"/>
      <c r="H56" s="272" t="s">
        <v>32</v>
      </c>
      <c r="I56" s="667">
        <v>1</v>
      </c>
      <c r="J56" s="668">
        <v>750000</v>
      </c>
      <c r="K56" s="669">
        <f t="shared" si="0"/>
        <v>750000</v>
      </c>
    </row>
    <row r="57" spans="1:16" ht="15.75">
      <c r="B57" s="421"/>
      <c r="C57" s="434"/>
      <c r="D57" s="415"/>
      <c r="E57" s="415"/>
      <c r="F57" s="415"/>
      <c r="G57" s="435"/>
      <c r="H57" s="272"/>
      <c r="I57" s="667"/>
      <c r="J57" s="630" t="s">
        <v>383</v>
      </c>
      <c r="K57" s="670">
        <f>SUM(K53:K56)</f>
        <v>9300000</v>
      </c>
    </row>
    <row r="58" spans="1:16" ht="15.75">
      <c r="B58" s="428" t="s">
        <v>384</v>
      </c>
      <c r="C58" s="429" t="s">
        <v>575</v>
      </c>
      <c r="D58" s="377"/>
      <c r="E58" s="377"/>
      <c r="F58" s="377"/>
      <c r="G58" s="430"/>
      <c r="H58" s="272"/>
      <c r="I58" s="667"/>
      <c r="J58" s="668"/>
      <c r="K58" s="669"/>
      <c r="L58" s="666"/>
      <c r="M58" s="666"/>
      <c r="N58" s="666"/>
      <c r="O58" s="666"/>
    </row>
    <row r="59" spans="1:16" ht="15.75">
      <c r="B59" s="421">
        <v>1</v>
      </c>
      <c r="C59" s="434" t="s">
        <v>386</v>
      </c>
      <c r="D59" s="415"/>
      <c r="E59" s="415"/>
      <c r="F59" s="415"/>
      <c r="G59" s="435"/>
      <c r="H59" s="272" t="s">
        <v>566</v>
      </c>
      <c r="I59" s="667">
        <v>115</v>
      </c>
      <c r="J59" s="668">
        <v>37510</v>
      </c>
      <c r="K59" s="669">
        <f t="shared" si="0"/>
        <v>4313650</v>
      </c>
    </row>
    <row r="60" spans="1:16" ht="15.75">
      <c r="B60" s="421">
        <v>2</v>
      </c>
      <c r="C60" s="434" t="s">
        <v>387</v>
      </c>
      <c r="D60" s="415"/>
      <c r="E60" s="415"/>
      <c r="F60" s="415"/>
      <c r="G60" s="435"/>
      <c r="H60" s="272" t="s">
        <v>566</v>
      </c>
      <c r="I60" s="667">
        <v>30.375</v>
      </c>
      <c r="J60" s="668">
        <v>37510</v>
      </c>
      <c r="K60" s="669">
        <f t="shared" si="0"/>
        <v>1139366.25</v>
      </c>
    </row>
    <row r="61" spans="1:16" ht="15.75">
      <c r="B61" s="421"/>
      <c r="C61" s="434"/>
      <c r="D61" s="415"/>
      <c r="E61" s="415"/>
      <c r="F61" s="415"/>
      <c r="G61" s="435"/>
      <c r="H61" s="272"/>
      <c r="I61" s="667"/>
      <c r="J61" s="630" t="s">
        <v>388</v>
      </c>
      <c r="K61" s="670">
        <f>SUM(K59:K60)</f>
        <v>5453016.25</v>
      </c>
      <c r="P61" s="674"/>
    </row>
    <row r="62" spans="1:16" ht="15.75">
      <c r="A62" s="672"/>
      <c r="B62" s="428" t="s">
        <v>389</v>
      </c>
      <c r="C62" s="429" t="s">
        <v>576</v>
      </c>
      <c r="D62" s="377"/>
      <c r="E62" s="377"/>
      <c r="F62" s="377"/>
      <c r="G62" s="430"/>
      <c r="H62" s="272"/>
      <c r="I62" s="667"/>
      <c r="J62" s="668"/>
      <c r="K62" s="669"/>
      <c r="L62" s="666"/>
      <c r="M62" s="666"/>
      <c r="N62" s="666"/>
      <c r="O62" s="666"/>
    </row>
    <row r="63" spans="1:16" ht="15.75">
      <c r="B63" s="421">
        <v>1</v>
      </c>
      <c r="C63" s="434" t="s">
        <v>577</v>
      </c>
      <c r="D63" s="415"/>
      <c r="E63" s="415"/>
      <c r="F63" s="415"/>
      <c r="G63" s="435"/>
      <c r="H63" s="272" t="s">
        <v>357</v>
      </c>
      <c r="I63" s="667">
        <v>1</v>
      </c>
      <c r="J63" s="668">
        <v>2500000</v>
      </c>
      <c r="K63" s="669">
        <f t="shared" si="0"/>
        <v>2500000</v>
      </c>
    </row>
    <row r="64" spans="1:16" ht="15.75">
      <c r="B64" s="421">
        <f>B63+1</f>
        <v>2</v>
      </c>
      <c r="C64" s="434" t="s">
        <v>578</v>
      </c>
      <c r="D64" s="415"/>
      <c r="E64" s="415"/>
      <c r="F64" s="415"/>
      <c r="G64" s="435"/>
      <c r="H64" s="272" t="s">
        <v>568</v>
      </c>
      <c r="I64" s="667">
        <v>4</v>
      </c>
      <c r="J64" s="668">
        <v>250000</v>
      </c>
      <c r="K64" s="669">
        <f t="shared" si="0"/>
        <v>1000000</v>
      </c>
    </row>
    <row r="65" spans="2:15" ht="15.75">
      <c r="B65" s="421">
        <f t="shared" ref="B65" si="5">B64+1</f>
        <v>3</v>
      </c>
      <c r="C65" s="434" t="s">
        <v>579</v>
      </c>
      <c r="D65" s="415"/>
      <c r="E65" s="415"/>
      <c r="F65" s="415"/>
      <c r="G65" s="435"/>
      <c r="H65" s="272" t="s">
        <v>380</v>
      </c>
      <c r="I65" s="667">
        <v>1</v>
      </c>
      <c r="J65" s="668">
        <v>7500000</v>
      </c>
      <c r="K65" s="669">
        <f t="shared" si="0"/>
        <v>7500000</v>
      </c>
    </row>
    <row r="66" spans="2:15" ht="15.75">
      <c r="B66" s="421"/>
      <c r="C66" s="434"/>
      <c r="D66" s="415"/>
      <c r="E66" s="415"/>
      <c r="F66" s="415"/>
      <c r="G66" s="435"/>
      <c r="H66" s="272"/>
      <c r="I66" s="667"/>
      <c r="J66" s="630" t="s">
        <v>394</v>
      </c>
      <c r="K66" s="670">
        <f>SUM(K63:K65)</f>
        <v>11000000</v>
      </c>
    </row>
    <row r="67" spans="2:15" ht="15.75">
      <c r="B67" s="428" t="s">
        <v>395</v>
      </c>
      <c r="C67" s="429" t="s">
        <v>580</v>
      </c>
      <c r="D67" s="377"/>
      <c r="E67" s="377"/>
      <c r="F67" s="377"/>
      <c r="G67" s="430"/>
      <c r="H67" s="272"/>
      <c r="I67" s="667"/>
      <c r="J67" s="668"/>
      <c r="K67" s="669"/>
      <c r="L67" s="666"/>
      <c r="M67" s="666"/>
      <c r="N67" s="666"/>
      <c r="O67" s="666"/>
    </row>
    <row r="68" spans="2:15" ht="15.75">
      <c r="B68" s="421">
        <v>1</v>
      </c>
      <c r="C68" s="434" t="s">
        <v>581</v>
      </c>
      <c r="D68" s="415"/>
      <c r="E68" s="415"/>
      <c r="F68" s="415"/>
      <c r="G68" s="435"/>
      <c r="H68" s="272" t="s">
        <v>398</v>
      </c>
      <c r="I68" s="667">
        <v>7</v>
      </c>
      <c r="J68" s="668">
        <v>320000</v>
      </c>
      <c r="K68" s="669">
        <f t="shared" ref="K68:K79" si="6">J68*I68</f>
        <v>2240000</v>
      </c>
    </row>
    <row r="69" spans="2:15" ht="15.75">
      <c r="B69" s="421">
        <f t="shared" ref="B69:B71" si="7">B68+1</f>
        <v>2</v>
      </c>
      <c r="C69" s="434" t="s">
        <v>582</v>
      </c>
      <c r="D69" s="415"/>
      <c r="E69" s="415"/>
      <c r="F69" s="415"/>
      <c r="G69" s="435"/>
      <c r="H69" s="272" t="s">
        <v>398</v>
      </c>
      <c r="I69" s="667">
        <v>1</v>
      </c>
      <c r="J69" s="668">
        <v>250000</v>
      </c>
      <c r="K69" s="669">
        <f t="shared" si="6"/>
        <v>250000</v>
      </c>
    </row>
    <row r="70" spans="2:15" ht="15.75">
      <c r="B70" s="421">
        <f t="shared" si="7"/>
        <v>3</v>
      </c>
      <c r="C70" s="434" t="s">
        <v>583</v>
      </c>
      <c r="D70" s="415"/>
      <c r="E70" s="415"/>
      <c r="F70" s="415"/>
      <c r="G70" s="435"/>
      <c r="H70" s="272" t="s">
        <v>380</v>
      </c>
      <c r="I70" s="667">
        <v>1</v>
      </c>
      <c r="J70" s="668">
        <v>350000</v>
      </c>
      <c r="K70" s="669">
        <f t="shared" si="6"/>
        <v>350000</v>
      </c>
    </row>
    <row r="71" spans="2:15" ht="15.75">
      <c r="B71" s="421">
        <f t="shared" si="7"/>
        <v>4</v>
      </c>
      <c r="C71" s="434" t="s">
        <v>584</v>
      </c>
      <c r="D71" s="415"/>
      <c r="E71" s="415"/>
      <c r="F71" s="415"/>
      <c r="G71" s="435"/>
      <c r="H71" s="272" t="s">
        <v>398</v>
      </c>
      <c r="I71" s="667">
        <v>4</v>
      </c>
      <c r="J71" s="668">
        <v>50000</v>
      </c>
      <c r="K71" s="669">
        <f t="shared" si="6"/>
        <v>200000</v>
      </c>
    </row>
    <row r="72" spans="2:15" ht="15.75">
      <c r="B72" s="421"/>
      <c r="C72" s="434"/>
      <c r="D72" s="415"/>
      <c r="E72" s="415"/>
      <c r="F72" s="415"/>
      <c r="G72" s="435"/>
      <c r="H72" s="272"/>
      <c r="I72" s="667"/>
      <c r="J72" s="630" t="s">
        <v>500</v>
      </c>
      <c r="K72" s="670">
        <f>SUM(K68:K71)</f>
        <v>3040000</v>
      </c>
    </row>
    <row r="73" spans="2:15" ht="15.75">
      <c r="B73" s="421"/>
      <c r="C73" s="434"/>
      <c r="D73" s="415"/>
      <c r="E73" s="415"/>
      <c r="F73" s="415"/>
      <c r="G73" s="435"/>
      <c r="H73" s="272"/>
      <c r="I73" s="667"/>
      <c r="J73" s="668"/>
      <c r="K73" s="669"/>
    </row>
    <row r="74" spans="2:15" ht="15.75">
      <c r="B74" s="428" t="s">
        <v>404</v>
      </c>
      <c r="C74" s="429" t="s">
        <v>585</v>
      </c>
      <c r="D74" s="377"/>
      <c r="E74" s="377"/>
      <c r="F74" s="377"/>
      <c r="G74" s="430"/>
      <c r="H74" s="272"/>
      <c r="I74" s="667"/>
      <c r="J74" s="668"/>
      <c r="K74" s="669"/>
      <c r="L74" s="666"/>
      <c r="M74" s="666"/>
      <c r="N74" s="666"/>
      <c r="O74" s="666"/>
    </row>
    <row r="75" spans="2:15" ht="15.75">
      <c r="B75" s="421">
        <v>1</v>
      </c>
      <c r="C75" s="434" t="s">
        <v>586</v>
      </c>
      <c r="D75" s="415"/>
      <c r="E75" s="415"/>
      <c r="F75" s="415"/>
      <c r="G75" s="435"/>
      <c r="H75" s="272" t="s">
        <v>380</v>
      </c>
      <c r="I75" s="667">
        <v>1</v>
      </c>
      <c r="J75" s="668">
        <v>500000</v>
      </c>
      <c r="K75" s="669">
        <f t="shared" si="6"/>
        <v>500000</v>
      </c>
    </row>
    <row r="76" spans="2:15" ht="15.75">
      <c r="B76" s="421">
        <f t="shared" ref="B76" si="8">B75+1</f>
        <v>2</v>
      </c>
      <c r="C76" s="434" t="s">
        <v>587</v>
      </c>
      <c r="D76" s="415"/>
      <c r="E76" s="415"/>
      <c r="F76" s="415"/>
      <c r="G76" s="435"/>
      <c r="H76" s="272" t="s">
        <v>380</v>
      </c>
      <c r="I76" s="667">
        <v>1</v>
      </c>
      <c r="J76" s="668">
        <v>125000</v>
      </c>
      <c r="K76" s="669">
        <f t="shared" si="6"/>
        <v>125000</v>
      </c>
    </row>
    <row r="77" spans="2:15" ht="15.75">
      <c r="B77" s="421">
        <v>3</v>
      </c>
      <c r="C77" s="434" t="s">
        <v>407</v>
      </c>
      <c r="D77" s="415"/>
      <c r="E77" s="415"/>
      <c r="F77" s="415"/>
      <c r="G77" s="435"/>
      <c r="H77" s="272" t="s">
        <v>380</v>
      </c>
      <c r="I77" s="667">
        <v>1</v>
      </c>
      <c r="J77" s="668">
        <v>750000</v>
      </c>
      <c r="K77" s="669">
        <f t="shared" si="6"/>
        <v>750000</v>
      </c>
    </row>
    <row r="78" spans="2:15" ht="15.75">
      <c r="B78" s="421">
        <v>4</v>
      </c>
      <c r="C78" s="434" t="s">
        <v>588</v>
      </c>
      <c r="D78" s="415"/>
      <c r="E78" s="415"/>
      <c r="F78" s="415"/>
      <c r="G78" s="435"/>
      <c r="H78" s="272" t="s">
        <v>380</v>
      </c>
      <c r="I78" s="667">
        <v>1</v>
      </c>
      <c r="J78" s="668">
        <v>220000</v>
      </c>
      <c r="K78" s="669">
        <f t="shared" si="6"/>
        <v>220000</v>
      </c>
    </row>
    <row r="79" spans="2:15" ht="15.75">
      <c r="B79" s="421">
        <f>B76+1</f>
        <v>3</v>
      </c>
      <c r="C79" s="434" t="s">
        <v>409</v>
      </c>
      <c r="D79" s="415"/>
      <c r="E79" s="415"/>
      <c r="F79" s="415"/>
      <c r="G79" s="435"/>
      <c r="H79" s="272" t="s">
        <v>380</v>
      </c>
      <c r="I79" s="667">
        <v>1</v>
      </c>
      <c r="J79" s="668">
        <v>150000</v>
      </c>
      <c r="K79" s="669">
        <f t="shared" si="6"/>
        <v>150000</v>
      </c>
    </row>
    <row r="80" spans="2:15" ht="15.75">
      <c r="B80" s="421"/>
      <c r="C80" s="434"/>
      <c r="D80" s="415"/>
      <c r="E80" s="415"/>
      <c r="F80" s="415"/>
      <c r="G80" s="435"/>
      <c r="H80" s="272"/>
      <c r="I80" s="445"/>
      <c r="J80" s="630" t="s">
        <v>501</v>
      </c>
      <c r="K80" s="670">
        <f>SUM(K75:K79)</f>
        <v>1745000</v>
      </c>
    </row>
    <row r="81" spans="2:11" ht="16.5" thickBot="1">
      <c r="B81" s="675"/>
      <c r="C81" s="676"/>
      <c r="D81" s="677"/>
      <c r="E81" s="677"/>
      <c r="F81" s="677"/>
      <c r="G81" s="678"/>
      <c r="H81" s="679"/>
      <c r="I81" s="680"/>
      <c r="J81" s="678"/>
      <c r="K81" s="681"/>
    </row>
    <row r="82" spans="2:11" ht="17.25" thickTop="1" thickBot="1">
      <c r="B82" s="682"/>
      <c r="C82" s="683"/>
      <c r="D82" s="683"/>
      <c r="E82" s="683"/>
      <c r="F82" s="683"/>
      <c r="G82" s="683"/>
      <c r="H82" s="683"/>
      <c r="I82" s="683"/>
      <c r="J82" s="684" t="s">
        <v>41</v>
      </c>
      <c r="K82" s="685">
        <f>SUM(K11:K81)/2</f>
        <v>189751611.51785713</v>
      </c>
    </row>
    <row r="83" spans="2:11" ht="16.5" thickTop="1">
      <c r="B83" s="415"/>
      <c r="C83" s="415"/>
      <c r="D83" s="415"/>
      <c r="E83" s="415"/>
      <c r="F83" s="415"/>
      <c r="G83" s="415"/>
      <c r="H83" s="272"/>
      <c r="I83" s="415"/>
      <c r="J83" s="415"/>
      <c r="K83" s="686"/>
    </row>
    <row r="84" spans="2:11" ht="15.75">
      <c r="B84" s="415"/>
      <c r="C84" s="415"/>
      <c r="D84" s="415"/>
      <c r="E84" s="415"/>
      <c r="F84" s="415"/>
      <c r="G84" s="415"/>
      <c r="H84" s="272"/>
      <c r="I84" s="415"/>
      <c r="J84" s="415"/>
      <c r="K84" s="686"/>
    </row>
    <row r="85" spans="2:11" ht="15.75">
      <c r="B85" s="415"/>
      <c r="C85" s="415"/>
      <c r="D85" s="415"/>
      <c r="E85" s="415"/>
      <c r="F85" s="415"/>
      <c r="G85" s="415"/>
      <c r="H85" s="272"/>
      <c r="I85" s="415"/>
      <c r="J85" s="415"/>
      <c r="K85" s="686"/>
    </row>
    <row r="86" spans="2:11" ht="15.75">
      <c r="B86" s="415"/>
      <c r="C86" s="415"/>
      <c r="D86" s="415"/>
      <c r="E86" s="415"/>
      <c r="F86" s="415"/>
      <c r="G86" s="415"/>
      <c r="H86" s="272"/>
      <c r="I86" s="415"/>
      <c r="J86" s="415"/>
      <c r="K86" s="686"/>
    </row>
    <row r="87" spans="2:11" ht="15.75">
      <c r="B87" s="415"/>
      <c r="C87" s="415"/>
      <c r="D87" s="415"/>
      <c r="E87" s="415"/>
      <c r="F87" s="415"/>
      <c r="G87" s="415"/>
      <c r="H87" s="272"/>
      <c r="I87" s="415"/>
      <c r="J87" s="415"/>
      <c r="K87" s="686"/>
    </row>
    <row r="88" spans="2:11" ht="15.75">
      <c r="B88" s="415"/>
      <c r="C88" s="415"/>
      <c r="D88" s="415"/>
      <c r="E88" s="415"/>
      <c r="F88" s="415"/>
      <c r="G88" s="415"/>
      <c r="H88" s="272"/>
      <c r="I88" s="415"/>
      <c r="J88" s="415"/>
      <c r="K88" s="686"/>
    </row>
    <row r="89" spans="2:11" ht="15.75">
      <c r="B89" s="415"/>
      <c r="C89" s="415"/>
      <c r="D89" s="415"/>
      <c r="E89" s="415"/>
      <c r="F89" s="415"/>
      <c r="G89" s="415"/>
      <c r="H89" s="272"/>
      <c r="I89" s="415"/>
      <c r="J89" s="415"/>
      <c r="K89" s="686"/>
    </row>
    <row r="90" spans="2:11" ht="15.75">
      <c r="B90" s="415"/>
      <c r="C90" s="415"/>
      <c r="D90" s="415"/>
      <c r="E90" s="415"/>
      <c r="F90" s="415"/>
      <c r="G90" s="415"/>
      <c r="H90" s="272"/>
      <c r="I90" s="415"/>
      <c r="J90" s="415"/>
      <c r="K90" s="686"/>
    </row>
    <row r="91" spans="2:11" ht="15.75">
      <c r="B91" s="415"/>
      <c r="C91" s="415"/>
      <c r="D91" s="415"/>
      <c r="E91" s="415"/>
      <c r="F91" s="415"/>
      <c r="G91" s="415"/>
      <c r="H91" s="272"/>
      <c r="I91" s="415"/>
      <c r="J91" s="415"/>
      <c r="K91" s="686"/>
    </row>
    <row r="92" spans="2:11" ht="15.75">
      <c r="B92" s="415"/>
      <c r="C92" s="415"/>
      <c r="D92" s="415"/>
      <c r="E92" s="415"/>
      <c r="F92" s="415"/>
      <c r="G92" s="415"/>
      <c r="H92" s="272"/>
      <c r="I92" s="415"/>
      <c r="J92" s="415"/>
      <c r="K92" s="686"/>
    </row>
    <row r="93" spans="2:11" ht="15.75">
      <c r="B93" s="415"/>
      <c r="C93" s="415"/>
      <c r="D93" s="415"/>
      <c r="E93" s="415"/>
      <c r="F93" s="415"/>
      <c r="G93" s="415"/>
      <c r="H93" s="272"/>
      <c r="I93" s="415"/>
      <c r="J93" s="415"/>
      <c r="K93" s="686"/>
    </row>
    <row r="94" spans="2:11" ht="15.75">
      <c r="B94" s="415"/>
      <c r="C94" s="415"/>
      <c r="D94" s="415"/>
      <c r="E94" s="415"/>
      <c r="F94" s="415"/>
      <c r="G94" s="415"/>
      <c r="H94" s="272"/>
      <c r="I94" s="415"/>
      <c r="J94" s="415"/>
      <c r="K94" s="686"/>
    </row>
    <row r="95" spans="2:11" ht="15.75">
      <c r="B95" s="415"/>
      <c r="C95" s="415"/>
      <c r="D95" s="415"/>
      <c r="E95" s="415"/>
      <c r="F95" s="415"/>
      <c r="G95" s="415"/>
      <c r="H95" s="272"/>
      <c r="I95" s="415"/>
      <c r="J95" s="415"/>
      <c r="K95" s="686"/>
    </row>
    <row r="96" spans="2:11" ht="15.75">
      <c r="B96" s="415"/>
      <c r="C96" s="415"/>
      <c r="D96" s="415"/>
      <c r="E96" s="415"/>
      <c r="F96" s="415"/>
      <c r="G96" s="415"/>
      <c r="H96" s="272"/>
      <c r="I96" s="415"/>
      <c r="J96" s="415"/>
      <c r="K96" s="686"/>
    </row>
    <row r="97" spans="2:11" ht="15.75">
      <c r="B97" s="415"/>
      <c r="C97" s="415"/>
      <c r="D97" s="415"/>
      <c r="E97" s="415"/>
      <c r="F97" s="415"/>
      <c r="G97" s="415"/>
      <c r="H97" s="272"/>
      <c r="I97" s="415"/>
      <c r="J97" s="415"/>
      <c r="K97" s="686"/>
    </row>
    <row r="98" spans="2:11" ht="15.75">
      <c r="B98" s="415"/>
      <c r="C98" s="415"/>
      <c r="D98" s="415"/>
      <c r="E98" s="415"/>
      <c r="F98" s="415"/>
      <c r="G98" s="415"/>
      <c r="H98" s="272"/>
      <c r="I98" s="415"/>
      <c r="J98" s="415"/>
      <c r="K98" s="686"/>
    </row>
    <row r="99" spans="2:11" ht="15.75">
      <c r="B99" s="415"/>
      <c r="C99" s="415"/>
      <c r="D99" s="415"/>
      <c r="E99" s="415"/>
      <c r="F99" s="415"/>
      <c r="G99" s="415"/>
      <c r="H99" s="272"/>
      <c r="I99" s="415"/>
      <c r="J99" s="415"/>
      <c r="K99" s="686"/>
    </row>
    <row r="100" spans="2:11" ht="15.75">
      <c r="B100" s="415"/>
      <c r="C100" s="415"/>
      <c r="D100" s="415"/>
      <c r="E100" s="415"/>
      <c r="F100" s="415"/>
      <c r="G100" s="415"/>
      <c r="H100" s="272"/>
      <c r="I100" s="415"/>
      <c r="J100" s="415"/>
      <c r="K100" s="686"/>
    </row>
    <row r="101" spans="2:11" ht="15.75">
      <c r="B101" s="415"/>
      <c r="C101" s="415"/>
      <c r="D101" s="415"/>
      <c r="E101" s="415"/>
      <c r="F101" s="415"/>
      <c r="G101" s="415"/>
      <c r="H101" s="272"/>
      <c r="I101" s="415"/>
      <c r="J101" s="415"/>
      <c r="K101" s="686"/>
    </row>
    <row r="102" spans="2:11" ht="15.75">
      <c r="B102" s="415"/>
      <c r="C102" s="415"/>
      <c r="D102" s="415"/>
      <c r="E102" s="415"/>
      <c r="F102" s="415"/>
      <c r="G102" s="415"/>
      <c r="H102" s="272"/>
      <c r="I102" s="415"/>
      <c r="J102" s="415"/>
      <c r="K102" s="686"/>
    </row>
    <row r="103" spans="2:11" ht="15.75">
      <c r="B103" s="415"/>
      <c r="C103" s="415"/>
      <c r="D103" s="415"/>
      <c r="E103" s="415"/>
      <c r="F103" s="415"/>
      <c r="G103" s="415"/>
      <c r="H103" s="272"/>
      <c r="I103" s="415"/>
      <c r="J103" s="415"/>
      <c r="K103" s="686"/>
    </row>
    <row r="104" spans="2:11" ht="15.75">
      <c r="B104" s="415"/>
      <c r="C104" s="415"/>
      <c r="D104" s="415"/>
      <c r="E104" s="415"/>
      <c r="F104" s="415"/>
      <c r="G104" s="415"/>
      <c r="H104" s="272"/>
      <c r="I104" s="415"/>
      <c r="J104" s="415"/>
      <c r="K104" s="686"/>
    </row>
    <row r="105" spans="2:11" ht="15.75">
      <c r="B105" s="415"/>
      <c r="C105" s="415"/>
      <c r="D105" s="415"/>
      <c r="E105" s="415"/>
      <c r="F105" s="415"/>
      <c r="G105" s="415"/>
      <c r="H105" s="272"/>
      <c r="I105" s="415"/>
      <c r="J105" s="415"/>
      <c r="K105" s="686"/>
    </row>
    <row r="106" spans="2:11" ht="15.75">
      <c r="B106" s="415"/>
      <c r="C106" s="415"/>
      <c r="D106" s="415"/>
      <c r="E106" s="415"/>
      <c r="F106" s="415"/>
      <c r="G106" s="415"/>
      <c r="H106" s="272"/>
      <c r="I106" s="415"/>
      <c r="J106" s="415"/>
      <c r="K106" s="686"/>
    </row>
    <row r="107" spans="2:11" ht="15.75">
      <c r="B107" s="415"/>
      <c r="C107" s="415"/>
      <c r="D107" s="415"/>
      <c r="E107" s="415"/>
      <c r="F107" s="415"/>
      <c r="G107" s="415"/>
      <c r="H107" s="272"/>
      <c r="I107" s="415"/>
      <c r="J107" s="415"/>
      <c r="K107" s="686"/>
    </row>
    <row r="108" spans="2:11" ht="15.75">
      <c r="B108" s="415"/>
      <c r="C108" s="415"/>
      <c r="D108" s="415"/>
      <c r="E108" s="415"/>
      <c r="F108" s="415"/>
      <c r="G108" s="415"/>
      <c r="H108" s="272"/>
      <c r="I108" s="415"/>
      <c r="J108" s="415"/>
      <c r="K108" s="686"/>
    </row>
    <row r="109" spans="2:11" ht="15.75">
      <c r="B109" s="415"/>
      <c r="C109" s="415"/>
      <c r="D109" s="415"/>
      <c r="E109" s="415"/>
      <c r="F109" s="415"/>
      <c r="G109" s="415"/>
      <c r="H109" s="272"/>
      <c r="I109" s="415"/>
      <c r="J109" s="415"/>
      <c r="K109" s="686"/>
    </row>
    <row r="110" spans="2:11" ht="15.75">
      <c r="B110" s="415"/>
      <c r="C110" s="415"/>
      <c r="D110" s="415"/>
      <c r="E110" s="415"/>
      <c r="F110" s="415"/>
      <c r="G110" s="415"/>
      <c r="H110" s="272"/>
      <c r="I110" s="415"/>
      <c r="J110" s="415"/>
      <c r="K110" s="686"/>
    </row>
    <row r="111" spans="2:11" ht="15.75">
      <c r="B111" s="415"/>
      <c r="C111" s="415"/>
      <c r="D111" s="415"/>
      <c r="E111" s="415"/>
      <c r="F111" s="415"/>
      <c r="G111" s="415"/>
      <c r="H111" s="272"/>
      <c r="I111" s="415"/>
      <c r="J111" s="415"/>
      <c r="K111" s="686"/>
    </row>
    <row r="112" spans="2:11" ht="15.75">
      <c r="B112" s="415"/>
      <c r="C112" s="415"/>
      <c r="D112" s="415"/>
      <c r="E112" s="415"/>
      <c r="F112" s="415"/>
      <c r="G112" s="415"/>
      <c r="H112" s="272"/>
      <c r="I112" s="415"/>
      <c r="J112" s="415"/>
      <c r="K112" s="686"/>
    </row>
    <row r="113" spans="2:11" ht="15.75">
      <c r="B113" s="415"/>
      <c r="C113" s="415"/>
      <c r="D113" s="415"/>
      <c r="E113" s="415"/>
      <c r="F113" s="415"/>
      <c r="G113" s="415"/>
      <c r="H113" s="272"/>
      <c r="I113" s="415"/>
      <c r="J113" s="415"/>
      <c r="K113" s="686"/>
    </row>
    <row r="114" spans="2:11" ht="15.75">
      <c r="B114" s="415"/>
      <c r="C114" s="415"/>
      <c r="D114" s="415"/>
      <c r="E114" s="415"/>
      <c r="F114" s="415"/>
      <c r="G114" s="415"/>
      <c r="H114" s="272"/>
      <c r="I114" s="415"/>
      <c r="J114" s="415"/>
      <c r="K114" s="686"/>
    </row>
    <row r="115" spans="2:11" ht="15.75">
      <c r="B115" s="415"/>
      <c r="C115" s="415"/>
      <c r="D115" s="415"/>
      <c r="E115" s="415"/>
      <c r="F115" s="415"/>
      <c r="G115" s="415"/>
      <c r="H115" s="272"/>
      <c r="I115" s="415"/>
      <c r="J115" s="415"/>
      <c r="K115" s="686"/>
    </row>
    <row r="116" spans="2:11" ht="15.75">
      <c r="B116" s="415"/>
      <c r="C116" s="415"/>
      <c r="D116" s="415"/>
      <c r="E116" s="415"/>
      <c r="F116" s="415"/>
      <c r="G116" s="415"/>
      <c r="H116" s="272"/>
      <c r="I116" s="415"/>
      <c r="J116" s="415"/>
      <c r="K116" s="686"/>
    </row>
    <row r="117" spans="2:11" ht="15.75">
      <c r="B117" s="415"/>
      <c r="C117" s="415"/>
      <c r="D117" s="415"/>
      <c r="E117" s="415"/>
      <c r="F117" s="415"/>
      <c r="G117" s="415"/>
      <c r="H117" s="272"/>
      <c r="I117" s="415"/>
      <c r="J117" s="415"/>
      <c r="K117" s="686"/>
    </row>
    <row r="118" spans="2:11" ht="15.75">
      <c r="B118" s="415"/>
      <c r="C118" s="415"/>
      <c r="D118" s="415"/>
      <c r="E118" s="415"/>
      <c r="F118" s="415"/>
      <c r="G118" s="415"/>
      <c r="H118" s="272"/>
      <c r="I118" s="415"/>
      <c r="J118" s="415"/>
      <c r="K118" s="686"/>
    </row>
    <row r="119" spans="2:11" ht="15.75">
      <c r="B119" s="415"/>
      <c r="C119" s="415"/>
      <c r="D119" s="415"/>
      <c r="E119" s="415"/>
      <c r="F119" s="415"/>
      <c r="G119" s="415"/>
      <c r="H119" s="272"/>
      <c r="I119" s="415"/>
      <c r="J119" s="415"/>
      <c r="K119" s="686"/>
    </row>
    <row r="120" spans="2:11" ht="15.75">
      <c r="B120" s="415"/>
      <c r="C120" s="415"/>
      <c r="D120" s="415"/>
      <c r="E120" s="415"/>
      <c r="F120" s="415"/>
      <c r="G120" s="415"/>
      <c r="H120" s="272"/>
      <c r="I120" s="415"/>
      <c r="J120" s="415"/>
      <c r="K120" s="686"/>
    </row>
    <row r="121" spans="2:11" ht="15.75">
      <c r="B121" s="415"/>
      <c r="C121" s="415"/>
      <c r="D121" s="415"/>
      <c r="E121" s="415"/>
      <c r="F121" s="415"/>
      <c r="G121" s="415"/>
      <c r="H121" s="272"/>
      <c r="I121" s="415"/>
      <c r="J121" s="415"/>
      <c r="K121" s="686"/>
    </row>
    <row r="122" spans="2:11" ht="15.75">
      <c r="B122" s="415"/>
      <c r="C122" s="415"/>
      <c r="D122" s="415"/>
      <c r="E122" s="415"/>
      <c r="F122" s="415"/>
      <c r="G122" s="415"/>
      <c r="H122" s="272"/>
      <c r="I122" s="415"/>
      <c r="J122" s="415"/>
      <c r="K122" s="686"/>
    </row>
    <row r="123" spans="2:11" ht="15.75">
      <c r="B123" s="415"/>
      <c r="C123" s="415"/>
      <c r="D123" s="415"/>
      <c r="E123" s="415"/>
      <c r="F123" s="415"/>
      <c r="G123" s="415"/>
      <c r="H123" s="272"/>
      <c r="I123" s="415"/>
      <c r="J123" s="415"/>
      <c r="K123" s="686"/>
    </row>
    <row r="124" spans="2:11" ht="15.75">
      <c r="B124" s="415"/>
      <c r="C124" s="415"/>
      <c r="D124" s="415"/>
      <c r="E124" s="415"/>
      <c r="F124" s="415"/>
      <c r="G124" s="415"/>
      <c r="H124" s="272"/>
      <c r="I124" s="415"/>
      <c r="J124" s="415"/>
      <c r="K124" s="686"/>
    </row>
    <row r="125" spans="2:11" ht="15.75">
      <c r="B125" s="415"/>
      <c r="C125" s="415"/>
      <c r="D125" s="415"/>
      <c r="E125" s="415"/>
      <c r="F125" s="415"/>
      <c r="G125" s="415"/>
      <c r="H125" s="272"/>
      <c r="I125" s="415"/>
      <c r="J125" s="415"/>
      <c r="K125" s="686"/>
    </row>
    <row r="126" spans="2:11" ht="15.75">
      <c r="B126" s="415"/>
      <c r="C126" s="415"/>
      <c r="D126" s="415"/>
      <c r="E126" s="415"/>
      <c r="F126" s="415"/>
      <c r="G126" s="415"/>
      <c r="H126" s="272"/>
      <c r="I126" s="415"/>
      <c r="J126" s="415"/>
      <c r="K126" s="686"/>
    </row>
    <row r="127" spans="2:11" ht="15.75">
      <c r="B127" s="415"/>
      <c r="C127" s="415"/>
      <c r="D127" s="415"/>
      <c r="E127" s="415"/>
      <c r="F127" s="415"/>
      <c r="G127" s="415"/>
      <c r="H127" s="272"/>
      <c r="I127" s="415"/>
      <c r="J127" s="415"/>
      <c r="K127" s="686"/>
    </row>
    <row r="128" spans="2:11" ht="15.75">
      <c r="B128" s="415"/>
      <c r="C128" s="415"/>
      <c r="D128" s="415"/>
      <c r="E128" s="415"/>
      <c r="F128" s="415"/>
      <c r="G128" s="415"/>
      <c r="H128" s="272"/>
      <c r="I128" s="415"/>
      <c r="J128" s="415"/>
      <c r="K128" s="686"/>
    </row>
    <row r="129" spans="2:11" ht="15.75">
      <c r="B129" s="415"/>
      <c r="C129" s="415"/>
      <c r="D129" s="415"/>
      <c r="E129" s="415"/>
      <c r="F129" s="415"/>
      <c r="G129" s="415"/>
      <c r="H129" s="272"/>
      <c r="I129" s="415"/>
      <c r="J129" s="415"/>
      <c r="K129" s="686"/>
    </row>
    <row r="130" spans="2:11" ht="15.75">
      <c r="B130" s="415"/>
      <c r="C130" s="415"/>
      <c r="D130" s="415"/>
      <c r="E130" s="415"/>
      <c r="F130" s="415"/>
      <c r="G130" s="415"/>
      <c r="H130" s="272"/>
      <c r="I130" s="415"/>
      <c r="J130" s="415"/>
      <c r="K130" s="686"/>
    </row>
    <row r="131" spans="2:11" ht="15.75">
      <c r="B131" s="415"/>
      <c r="C131" s="415"/>
      <c r="D131" s="415"/>
      <c r="E131" s="415"/>
      <c r="F131" s="415"/>
      <c r="G131" s="415"/>
      <c r="H131" s="272"/>
      <c r="I131" s="415"/>
      <c r="J131" s="415"/>
      <c r="K131" s="686"/>
    </row>
    <row r="132" spans="2:11" ht="15.75">
      <c r="B132" s="415"/>
      <c r="C132" s="415"/>
      <c r="D132" s="415"/>
      <c r="E132" s="415"/>
      <c r="F132" s="415"/>
      <c r="G132" s="415"/>
      <c r="H132" s="272"/>
      <c r="I132" s="415"/>
      <c r="J132" s="415"/>
      <c r="K132" s="686"/>
    </row>
    <row r="133" spans="2:11" ht="15.75">
      <c r="B133" s="415"/>
      <c r="C133" s="415"/>
      <c r="D133" s="415"/>
      <c r="E133" s="415"/>
      <c r="F133" s="415"/>
      <c r="G133" s="415"/>
      <c r="H133" s="272"/>
      <c r="I133" s="415"/>
      <c r="J133" s="415"/>
      <c r="K133" s="686"/>
    </row>
    <row r="134" spans="2:11" ht="15.75">
      <c r="B134" s="415"/>
      <c r="C134" s="415"/>
      <c r="D134" s="415"/>
      <c r="E134" s="415"/>
      <c r="F134" s="415"/>
      <c r="G134" s="415"/>
      <c r="H134" s="272"/>
      <c r="I134" s="415"/>
      <c r="J134" s="415"/>
      <c r="K134" s="686"/>
    </row>
    <row r="135" spans="2:11" ht="15.75">
      <c r="B135" s="415"/>
      <c r="C135" s="415"/>
      <c r="D135" s="415"/>
      <c r="E135" s="415"/>
      <c r="F135" s="415"/>
      <c r="G135" s="415"/>
      <c r="H135" s="272"/>
      <c r="I135" s="415"/>
      <c r="J135" s="415"/>
      <c r="K135" s="686"/>
    </row>
    <row r="136" spans="2:11" ht="15.75">
      <c r="B136" s="415"/>
      <c r="C136" s="415"/>
      <c r="D136" s="415"/>
      <c r="E136" s="415"/>
      <c r="F136" s="415"/>
      <c r="G136" s="415"/>
      <c r="H136" s="272"/>
      <c r="I136" s="415"/>
      <c r="J136" s="415"/>
      <c r="K136" s="686"/>
    </row>
    <row r="137" spans="2:11" ht="15.75">
      <c r="B137" s="415"/>
      <c r="C137" s="415"/>
      <c r="D137" s="415"/>
      <c r="E137" s="415"/>
      <c r="F137" s="415"/>
      <c r="G137" s="415"/>
      <c r="H137" s="272"/>
      <c r="I137" s="415"/>
      <c r="J137" s="415"/>
      <c r="K137" s="686"/>
    </row>
  </sheetData>
  <mergeCells count="1">
    <mergeCell ref="I6:K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D83ACF-279F-40EE-AD88-06A1CC9C5445}">
  <sheetPr>
    <tabColor rgb="FFFFFF00"/>
    <pageSetUpPr fitToPage="1"/>
  </sheetPr>
  <dimension ref="A2:L35"/>
  <sheetViews>
    <sheetView workbookViewId="0">
      <selection activeCell="H15" sqref="H15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7.57031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618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619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Unit Air Bersih Blok A</v>
      </c>
      <c r="D13" s="58"/>
      <c r="E13" s="58"/>
      <c r="F13" s="58"/>
      <c r="G13" s="58"/>
      <c r="H13" s="59"/>
    </row>
    <row r="14" spans="1:12" s="60" customFormat="1">
      <c r="A14" s="39"/>
      <c r="B14" s="49"/>
      <c r="C14" s="58"/>
      <c r="D14" s="58"/>
      <c r="E14" s="58"/>
      <c r="F14" s="58"/>
      <c r="G14" s="58"/>
      <c r="H14" s="59"/>
      <c r="I14" s="39"/>
      <c r="J14" s="39"/>
      <c r="K14" s="39"/>
      <c r="L14" s="39"/>
    </row>
    <row r="15" spans="1:12" s="60" customFormat="1">
      <c r="A15" s="39"/>
      <c r="B15" s="61" t="s">
        <v>11</v>
      </c>
      <c r="C15" s="616" t="str">
        <f>BQUnitAB!C14</f>
        <v>Pekerjaan Tanah</v>
      </c>
      <c r="D15" s="62"/>
      <c r="E15" s="62"/>
      <c r="F15" s="62"/>
      <c r="G15" s="62"/>
      <c r="H15" s="66">
        <f>BQUnitAB!K17</f>
        <v>15876000</v>
      </c>
      <c r="I15" s="39"/>
      <c r="J15" s="39"/>
      <c r="K15" s="39"/>
      <c r="L15" s="39"/>
    </row>
    <row r="16" spans="1:12">
      <c r="B16" s="63"/>
      <c r="C16" s="64"/>
      <c r="D16" s="37"/>
      <c r="E16" s="37"/>
      <c r="F16" s="37"/>
      <c r="G16" s="37"/>
      <c r="H16" s="65"/>
    </row>
    <row r="17" spans="1:12" s="60" customFormat="1">
      <c r="A17" s="39"/>
      <c r="B17" s="61" t="s">
        <v>12</v>
      </c>
      <c r="C17" s="616" t="str">
        <f>BQUnitAB!C18</f>
        <v>Pekerjaan Pondasi</v>
      </c>
      <c r="D17" s="62"/>
      <c r="E17" s="62"/>
      <c r="F17" s="62"/>
      <c r="G17" s="62"/>
      <c r="H17" s="66">
        <f>BQUnitAB!K22</f>
        <v>15084000</v>
      </c>
      <c r="I17" s="39"/>
      <c r="J17" s="39"/>
      <c r="K17" s="39"/>
      <c r="L17" s="39"/>
    </row>
    <row r="18" spans="1:12" s="60" customFormat="1">
      <c r="A18" s="39"/>
      <c r="B18" s="63"/>
      <c r="C18" s="67"/>
      <c r="D18" s="67"/>
      <c r="E18" s="67"/>
      <c r="F18" s="67"/>
      <c r="G18" s="67"/>
      <c r="H18" s="34"/>
      <c r="I18" s="39"/>
      <c r="J18" s="39"/>
      <c r="K18" s="39"/>
      <c r="L18" s="39"/>
    </row>
    <row r="19" spans="1:12">
      <c r="B19" s="61" t="s">
        <v>16</v>
      </c>
      <c r="C19" s="616" t="str">
        <f>BQUnitAB!C23</f>
        <v>Pekerjaan Beton Bertulang</v>
      </c>
      <c r="D19" s="62"/>
      <c r="E19" s="62"/>
      <c r="F19" s="62"/>
      <c r="G19" s="62"/>
      <c r="H19" s="66">
        <f>BQUnitAB!K29</f>
        <v>218158125</v>
      </c>
    </row>
    <row r="20" spans="1:12" s="60" customFormat="1">
      <c r="A20" s="39"/>
      <c r="B20" s="63"/>
      <c r="C20" s="64"/>
      <c r="D20" s="37"/>
      <c r="E20" s="37"/>
      <c r="F20" s="37"/>
      <c r="G20" s="37"/>
      <c r="H20" s="34"/>
      <c r="I20" s="39"/>
      <c r="J20" s="39"/>
      <c r="K20" s="39"/>
      <c r="L20" s="39"/>
    </row>
    <row r="21" spans="1:12" s="60" customFormat="1">
      <c r="A21" s="39"/>
      <c r="B21" s="61" t="s">
        <v>19</v>
      </c>
      <c r="C21" s="617" t="str">
        <f>BQUnitAB!C30</f>
        <v>Pekerjaan Logam</v>
      </c>
      <c r="D21" s="37"/>
      <c r="E21" s="37"/>
      <c r="F21" s="37"/>
      <c r="G21" s="37"/>
      <c r="H21" s="34">
        <f>BQUnitAB!K33</f>
        <v>30000000</v>
      </c>
      <c r="I21" s="39"/>
      <c r="J21" s="39"/>
      <c r="K21" s="39"/>
      <c r="L21" s="39"/>
    </row>
    <row r="22" spans="1:12" s="60" customFormat="1">
      <c r="A22" s="39"/>
      <c r="B22" s="63"/>
      <c r="C22" s="68"/>
      <c r="D22" s="37"/>
      <c r="E22" s="37"/>
      <c r="F22" s="37"/>
      <c r="G22" s="37"/>
      <c r="H22" s="65"/>
      <c r="I22" s="39"/>
      <c r="J22" s="39"/>
      <c r="K22" s="39"/>
      <c r="L22" s="39"/>
    </row>
    <row r="23" spans="1:12">
      <c r="B23" s="63" t="s">
        <v>22</v>
      </c>
      <c r="C23" s="618" t="str">
        <f>BQUnitAB!C34</f>
        <v>Pekerjaan Perpipaan &amp; Accessories</v>
      </c>
      <c r="D23" s="37"/>
      <c r="E23" s="37"/>
      <c r="F23" s="37"/>
      <c r="G23" s="37"/>
      <c r="H23" s="34">
        <f>BQUnitAB!K39</f>
        <v>45000000</v>
      </c>
    </row>
    <row r="24" spans="1:12" s="60" customFormat="1">
      <c r="A24" s="39"/>
      <c r="B24" s="63"/>
      <c r="C24" s="36"/>
      <c r="D24" s="37"/>
      <c r="E24" s="37"/>
      <c r="F24" s="37"/>
      <c r="G24" s="37"/>
      <c r="H24" s="65"/>
      <c r="I24" s="39"/>
      <c r="J24" s="39"/>
      <c r="K24" s="39"/>
      <c r="L24" s="39"/>
    </row>
    <row r="25" spans="1:12" s="60" customFormat="1">
      <c r="A25" s="39"/>
      <c r="B25" s="61" t="s">
        <v>25</v>
      </c>
      <c r="C25" s="619" t="str">
        <f>BQUnitAB!C40</f>
        <v>Pekerjaan Cat dan Waterproofing</v>
      </c>
      <c r="D25" s="37"/>
      <c r="E25" s="37"/>
      <c r="F25" s="37"/>
      <c r="G25" s="37"/>
      <c r="H25" s="34">
        <f>BQUnitAB!K45</f>
        <v>103672650</v>
      </c>
      <c r="I25" s="39"/>
      <c r="J25" s="39"/>
      <c r="K25" s="39"/>
      <c r="L25" s="39"/>
    </row>
    <row r="26" spans="1:12" s="60" customFormat="1">
      <c r="A26" s="39"/>
      <c r="B26" s="63"/>
      <c r="C26" s="36"/>
      <c r="D26" s="67"/>
      <c r="E26" s="37"/>
      <c r="F26" s="37"/>
      <c r="G26" s="37"/>
      <c r="H26" s="34"/>
      <c r="I26" s="39"/>
      <c r="J26" s="39"/>
      <c r="K26" s="39"/>
      <c r="L26" s="39"/>
    </row>
    <row r="27" spans="1:12">
      <c r="B27" s="63"/>
      <c r="C27" s="36"/>
      <c r="D27" s="37"/>
      <c r="E27" s="37"/>
      <c r="F27" s="37"/>
      <c r="G27" s="37"/>
      <c r="H27" s="34"/>
    </row>
    <row r="28" spans="1:12" ht="16.5" thickBot="1">
      <c r="B28" s="69"/>
      <c r="C28" s="70"/>
      <c r="D28" s="70"/>
      <c r="E28" s="70"/>
      <c r="F28" s="70"/>
      <c r="G28" s="70"/>
      <c r="H28" s="71"/>
    </row>
    <row r="29" spans="1:12" ht="17.25" thickTop="1" thickBot="1">
      <c r="B29" s="72"/>
      <c r="C29" s="73"/>
      <c r="D29" s="73"/>
      <c r="E29" s="73"/>
      <c r="F29" s="74" t="s">
        <v>41</v>
      </c>
      <c r="G29" s="74"/>
      <c r="H29" s="75">
        <f>SUM(H15:H28)</f>
        <v>427790775</v>
      </c>
    </row>
    <row r="30" spans="1:12" ht="16.5" thickTop="1">
      <c r="B30" s="76"/>
      <c r="C30" s="77"/>
      <c r="D30" s="77"/>
      <c r="E30" s="77"/>
      <c r="F30" s="77"/>
      <c r="G30" s="77"/>
      <c r="H30" s="78"/>
    </row>
    <row r="31" spans="1:12">
      <c r="B31" s="79"/>
      <c r="C31" s="56"/>
      <c r="D31" s="56"/>
      <c r="E31" s="58"/>
      <c r="G31" s="43"/>
      <c r="H31" s="80"/>
    </row>
    <row r="32" spans="1:12">
      <c r="B32" s="81"/>
      <c r="C32" s="41"/>
      <c r="E32" s="44"/>
      <c r="H32" s="82"/>
    </row>
    <row r="33" spans="2:8">
      <c r="B33" s="81"/>
      <c r="C33" s="41"/>
      <c r="E33" s="44"/>
      <c r="H33" s="83"/>
    </row>
    <row r="34" spans="2:8" ht="16.5" thickBot="1">
      <c r="B34" s="84"/>
      <c r="C34" s="85"/>
      <c r="D34" s="85"/>
      <c r="E34" s="85"/>
      <c r="F34" s="85"/>
      <c r="G34" s="85"/>
      <c r="H34" s="86"/>
    </row>
    <row r="35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7D323F-F9F9-402B-8357-67567D577915}">
  <dimension ref="B2:L56"/>
  <sheetViews>
    <sheetView topLeftCell="A39" zoomScaleNormal="100" workbookViewId="0">
      <selection activeCell="I15" sqref="I15:I43"/>
    </sheetView>
  </sheetViews>
  <sheetFormatPr defaultRowHeight="15"/>
  <cols>
    <col min="7" max="7" width="34.85546875" customWidth="1"/>
    <col min="10" max="10" width="12.28515625" bestFit="1" customWidth="1"/>
    <col min="11" max="11" width="15.5703125" style="643" customWidth="1"/>
  </cols>
  <sheetData>
    <row r="2" spans="2:11" ht="15.75">
      <c r="B2" s="4" t="s">
        <v>0</v>
      </c>
      <c r="C2" s="2"/>
      <c r="D2" s="1"/>
      <c r="E2" s="5"/>
      <c r="F2" s="6"/>
      <c r="G2" s="1"/>
      <c r="H2" s="1"/>
      <c r="I2" s="1"/>
      <c r="J2" s="3"/>
      <c r="K2" s="3"/>
    </row>
    <row r="3" spans="2:11" ht="15.75">
      <c r="B3" s="420" t="s">
        <v>617</v>
      </c>
      <c r="C3" s="2"/>
      <c r="D3" s="1"/>
      <c r="E3" s="5"/>
      <c r="F3" s="6"/>
      <c r="G3" s="1"/>
      <c r="H3" s="1"/>
      <c r="I3" s="1"/>
      <c r="J3" s="3"/>
      <c r="K3" s="3"/>
    </row>
    <row r="4" spans="2:11" ht="15.75">
      <c r="B4" s="7" t="s">
        <v>1</v>
      </c>
      <c r="C4" s="2"/>
      <c r="D4" s="1"/>
      <c r="E4" s="5"/>
      <c r="F4" s="6"/>
      <c r="G4" s="1"/>
      <c r="H4" s="1"/>
      <c r="I4" s="1"/>
      <c r="J4" s="3"/>
      <c r="K4" s="3"/>
    </row>
    <row r="5" spans="2:11" ht="15.75">
      <c r="B5" s="4" t="s">
        <v>2</v>
      </c>
      <c r="C5" s="2"/>
      <c r="D5" s="1"/>
      <c r="E5" s="5"/>
      <c r="F5" s="6"/>
      <c r="G5" s="1"/>
      <c r="H5" s="1"/>
      <c r="I5" s="1"/>
      <c r="J5" s="3"/>
      <c r="K5" s="3"/>
    </row>
    <row r="6" spans="2:11" ht="15.75">
      <c r="B6" s="7" t="s">
        <v>3</v>
      </c>
      <c r="C6" s="2"/>
      <c r="D6" s="1"/>
      <c r="E6" s="5"/>
      <c r="F6" s="6"/>
      <c r="G6" s="1"/>
      <c r="H6" s="1"/>
      <c r="I6" s="1"/>
      <c r="J6" s="3"/>
      <c r="K6" s="3"/>
    </row>
    <row r="7" spans="2:11" ht="16.5" thickBot="1">
      <c r="B7" s="1"/>
      <c r="C7" s="1"/>
      <c r="D7" s="1"/>
      <c r="E7" s="1"/>
      <c r="F7" s="1"/>
      <c r="G7" s="1"/>
      <c r="H7" s="1"/>
      <c r="I7" s="1136" t="str">
        <f>'23SUMUnitAB'!F8</f>
        <v>No. 023/RAB-Blok A -SSBP/I/2021</v>
      </c>
      <c r="J7" s="1136"/>
      <c r="K7" s="1136"/>
    </row>
    <row r="8" spans="2:11" ht="16.5" thickTop="1">
      <c r="B8" s="8"/>
      <c r="C8" s="9"/>
      <c r="D8" s="9"/>
      <c r="E8" s="9"/>
      <c r="F8" s="9"/>
      <c r="G8" s="9"/>
      <c r="H8" s="10"/>
      <c r="I8" s="11"/>
      <c r="J8" s="12" t="s">
        <v>4</v>
      </c>
      <c r="K8" s="620" t="s">
        <v>5</v>
      </c>
    </row>
    <row r="9" spans="2:11" ht="15.75">
      <c r="B9" s="14" t="s">
        <v>6</v>
      </c>
      <c r="C9" s="15" t="s">
        <v>7</v>
      </c>
      <c r="D9" s="15"/>
      <c r="E9" s="15"/>
      <c r="F9" s="15"/>
      <c r="G9" s="15"/>
      <c r="H9" s="16" t="s">
        <v>8</v>
      </c>
      <c r="I9" s="17" t="s">
        <v>9</v>
      </c>
      <c r="J9" s="18" t="s">
        <v>8</v>
      </c>
      <c r="K9" s="621" t="s">
        <v>4</v>
      </c>
    </row>
    <row r="10" spans="2:11" ht="16.5" thickBot="1">
      <c r="B10" s="20"/>
      <c r="C10" s="21"/>
      <c r="D10" s="21"/>
      <c r="E10" s="21"/>
      <c r="F10" s="21"/>
      <c r="G10" s="21"/>
      <c r="H10" s="22"/>
      <c r="I10" s="23"/>
      <c r="J10" s="24" t="s">
        <v>10</v>
      </c>
      <c r="K10" s="622" t="s">
        <v>10</v>
      </c>
    </row>
    <row r="11" spans="2:11" ht="16.5" thickTop="1">
      <c r="B11" s="623"/>
      <c r="C11" s="26"/>
      <c r="D11" s="26"/>
      <c r="E11" s="26"/>
      <c r="F11" s="26"/>
      <c r="G11" s="26"/>
      <c r="H11" s="27"/>
      <c r="I11" s="28"/>
      <c r="J11" s="29"/>
      <c r="K11" s="624"/>
    </row>
    <row r="12" spans="2:11" ht="15.75">
      <c r="B12" s="14"/>
      <c r="C12" s="4" t="s">
        <v>502</v>
      </c>
      <c r="D12" s="30"/>
      <c r="E12" s="30"/>
      <c r="F12" s="30"/>
      <c r="G12" s="30"/>
      <c r="H12" s="16"/>
      <c r="I12" s="31"/>
      <c r="J12" s="32"/>
      <c r="K12" s="625"/>
    </row>
    <row r="13" spans="2:11" ht="15.75">
      <c r="B13" s="14"/>
      <c r="C13" s="30"/>
      <c r="D13" s="30"/>
      <c r="E13" s="30"/>
      <c r="F13" s="30"/>
      <c r="G13" s="30"/>
      <c r="H13" s="16"/>
      <c r="I13" s="31"/>
      <c r="J13" s="32"/>
      <c r="K13" s="625"/>
    </row>
    <row r="14" spans="2:11" ht="15.75">
      <c r="B14" s="14" t="s">
        <v>11</v>
      </c>
      <c r="C14" s="626" t="s">
        <v>13</v>
      </c>
      <c r="D14" s="626"/>
      <c r="E14" s="626"/>
      <c r="F14" s="626"/>
      <c r="G14" s="626"/>
      <c r="H14" s="16"/>
      <c r="I14" s="31"/>
      <c r="J14" s="32"/>
      <c r="K14" s="625"/>
    </row>
    <row r="15" spans="2:11" ht="15.75">
      <c r="B15" s="627">
        <v>1</v>
      </c>
      <c r="C15" s="628" t="s">
        <v>503</v>
      </c>
      <c r="D15" s="628"/>
      <c r="E15" s="628"/>
      <c r="F15" s="628"/>
      <c r="G15" s="628"/>
      <c r="H15" s="629" t="s">
        <v>15</v>
      </c>
      <c r="I15" s="28">
        <f>[86]analisaUnitAB!$J$5</f>
        <v>94.5</v>
      </c>
      <c r="J15" s="33">
        <v>120000</v>
      </c>
      <c r="K15" s="624">
        <f>J15*I15</f>
        <v>11340000</v>
      </c>
    </row>
    <row r="16" spans="2:11" ht="15.75">
      <c r="B16" s="627">
        <f>B15+1</f>
        <v>2</v>
      </c>
      <c r="C16" s="628" t="s">
        <v>504</v>
      </c>
      <c r="D16" s="628"/>
      <c r="E16" s="628"/>
      <c r="F16" s="628"/>
      <c r="G16" s="628"/>
      <c r="H16" s="629" t="s">
        <v>15</v>
      </c>
      <c r="I16" s="28">
        <f>I15*1.2</f>
        <v>113.39999999999999</v>
      </c>
      <c r="J16" s="33">
        <v>40000</v>
      </c>
      <c r="K16" s="624">
        <f>J16*I16</f>
        <v>4536000</v>
      </c>
    </row>
    <row r="17" spans="2:11" ht="15.75">
      <c r="B17" s="14"/>
      <c r="C17" s="626"/>
      <c r="D17" s="626"/>
      <c r="E17" s="626"/>
      <c r="F17" s="626"/>
      <c r="G17" s="626"/>
      <c r="H17" s="16"/>
      <c r="I17" s="28"/>
      <c r="J17" s="630" t="s">
        <v>348</v>
      </c>
      <c r="K17" s="625">
        <f>SUM(K15:K16)</f>
        <v>15876000</v>
      </c>
    </row>
    <row r="18" spans="2:11" ht="15.75">
      <c r="B18" s="14" t="s">
        <v>12</v>
      </c>
      <c r="C18" s="626" t="s">
        <v>505</v>
      </c>
      <c r="D18" s="626"/>
      <c r="E18" s="626"/>
      <c r="F18" s="626"/>
      <c r="G18" s="626"/>
      <c r="H18" s="16"/>
      <c r="I18" s="28"/>
      <c r="J18" s="33"/>
      <c r="K18" s="624"/>
    </row>
    <row r="19" spans="2:11" ht="15.75">
      <c r="B19" s="627">
        <v>1</v>
      </c>
      <c r="C19" s="628" t="s">
        <v>506</v>
      </c>
      <c r="D19" s="626"/>
      <c r="E19" s="626"/>
      <c r="F19" s="626"/>
      <c r="G19" s="626"/>
      <c r="H19" s="27" t="s">
        <v>15</v>
      </c>
      <c r="I19" s="28">
        <f>12*12*0.05</f>
        <v>7.2</v>
      </c>
      <c r="J19" s="33">
        <f>220000</f>
        <v>220000</v>
      </c>
      <c r="K19" s="624">
        <f t="shared" ref="K19:K21" si="0">J19*I19</f>
        <v>1584000</v>
      </c>
    </row>
    <row r="20" spans="2:11" ht="15.75">
      <c r="B20" s="627">
        <f>B19+1</f>
        <v>2</v>
      </c>
      <c r="C20" s="628" t="s">
        <v>507</v>
      </c>
      <c r="D20" s="626"/>
      <c r="E20" s="626"/>
      <c r="F20" s="626"/>
      <c r="G20" s="626"/>
      <c r="H20" s="27" t="s">
        <v>15</v>
      </c>
      <c r="I20" s="28">
        <f>12*12*0.05</f>
        <v>7.2</v>
      </c>
      <c r="J20" s="33">
        <v>750000</v>
      </c>
      <c r="K20" s="624">
        <f t="shared" si="0"/>
        <v>5400000</v>
      </c>
    </row>
    <row r="21" spans="2:11" ht="15.75">
      <c r="B21" s="627">
        <f>B20+1</f>
        <v>3</v>
      </c>
      <c r="C21" s="628" t="s">
        <v>508</v>
      </c>
      <c r="D21" s="628"/>
      <c r="E21" s="628"/>
      <c r="F21" s="628"/>
      <c r="G21" s="628"/>
      <c r="H21" s="27" t="s">
        <v>15</v>
      </c>
      <c r="I21" s="28">
        <f>[86]analisaUnitAB!$J$12</f>
        <v>1.8</v>
      </c>
      <c r="J21" s="33">
        <v>4500000</v>
      </c>
      <c r="K21" s="624">
        <f t="shared" si="0"/>
        <v>8100000</v>
      </c>
    </row>
    <row r="22" spans="2:11" ht="15.75">
      <c r="B22" s="14"/>
      <c r="C22" s="626"/>
      <c r="D22" s="626"/>
      <c r="E22" s="626"/>
      <c r="F22" s="626"/>
      <c r="G22" s="626"/>
      <c r="H22" s="27"/>
      <c r="I22" s="28"/>
      <c r="J22" s="630" t="s">
        <v>353</v>
      </c>
      <c r="K22" s="625">
        <f>SUM(K19:K21)</f>
        <v>15084000</v>
      </c>
    </row>
    <row r="23" spans="2:11" ht="15.75">
      <c r="B23" s="14" t="s">
        <v>16</v>
      </c>
      <c r="C23" s="626" t="s">
        <v>509</v>
      </c>
      <c r="D23" s="626"/>
      <c r="E23" s="626"/>
      <c r="F23" s="626"/>
      <c r="G23" s="626"/>
      <c r="H23" s="27"/>
      <c r="I23" s="28"/>
      <c r="J23" s="33"/>
      <c r="K23" s="624"/>
    </row>
    <row r="24" spans="2:11" ht="15.75">
      <c r="B24" s="627">
        <v>1</v>
      </c>
      <c r="C24" s="628" t="s">
        <v>510</v>
      </c>
      <c r="D24" s="628"/>
      <c r="E24" s="628"/>
      <c r="F24" s="628"/>
      <c r="G24" s="628"/>
      <c r="H24" s="27" t="s">
        <v>15</v>
      </c>
      <c r="I24" s="28">
        <f>[86]analisaUnitAB!$J$18</f>
        <v>1.7831250000000001</v>
      </c>
      <c r="J24" s="33">
        <v>5000000</v>
      </c>
      <c r="K24" s="624">
        <f t="shared" ref="K24:K28" si="1">J24*I24</f>
        <v>8915625</v>
      </c>
    </row>
    <row r="25" spans="2:11" ht="15.75">
      <c r="B25" s="627">
        <f>B24+1</f>
        <v>2</v>
      </c>
      <c r="C25" s="628" t="s">
        <v>511</v>
      </c>
      <c r="D25" s="628"/>
      <c r="E25" s="628"/>
      <c r="F25" s="628"/>
      <c r="G25" s="628"/>
      <c r="H25" s="27" t="s">
        <v>15</v>
      </c>
      <c r="I25" s="28">
        <f>[86]analisaUnitAB!$J$22</f>
        <v>1.3499999999999999</v>
      </c>
      <c r="J25" s="33">
        <v>5000000</v>
      </c>
      <c r="K25" s="624">
        <f t="shared" si="1"/>
        <v>6749999.9999999991</v>
      </c>
    </row>
    <row r="26" spans="2:11" ht="15.75">
      <c r="B26" s="631">
        <f>B25+1</f>
        <v>3</v>
      </c>
      <c r="C26" s="632" t="s">
        <v>512</v>
      </c>
      <c r="D26" s="632"/>
      <c r="E26" s="632"/>
      <c r="F26" s="632"/>
      <c r="G26" s="632"/>
      <c r="H26" s="27" t="s">
        <v>15</v>
      </c>
      <c r="I26" s="28">
        <f>[86]analisaUnitAB!$J$28</f>
        <v>3.5999999999999996</v>
      </c>
      <c r="J26" s="33">
        <v>7500000</v>
      </c>
      <c r="K26" s="624">
        <f t="shared" si="1"/>
        <v>26999999.999999996</v>
      </c>
    </row>
    <row r="27" spans="2:11" ht="15.75">
      <c r="B27" s="631">
        <f>B26+1</f>
        <v>4</v>
      </c>
      <c r="C27" s="632" t="s">
        <v>513</v>
      </c>
      <c r="D27" s="632"/>
      <c r="E27" s="632"/>
      <c r="F27" s="632"/>
      <c r="G27" s="632"/>
      <c r="H27" s="27" t="s">
        <v>15</v>
      </c>
      <c r="I27" s="28">
        <f>[86]analisaUnitAB!$J$30</f>
        <v>21.239000000000001</v>
      </c>
      <c r="J27" s="33">
        <v>7500000</v>
      </c>
      <c r="K27" s="624">
        <f t="shared" si="1"/>
        <v>159292500</v>
      </c>
    </row>
    <row r="28" spans="2:11" ht="15.75">
      <c r="B28" s="631">
        <f>B27+1</f>
        <v>5</v>
      </c>
      <c r="C28" s="35" t="s">
        <v>514</v>
      </c>
      <c r="D28" s="632"/>
      <c r="E28" s="632"/>
      <c r="F28" s="632"/>
      <c r="G28" s="632"/>
      <c r="H28" s="27" t="s">
        <v>15</v>
      </c>
      <c r="I28" s="28">
        <f>[86]analisaUnitAB!$J$37</f>
        <v>3.5999999999999996</v>
      </c>
      <c r="J28" s="33">
        <v>4500000</v>
      </c>
      <c r="K28" s="624">
        <f t="shared" si="1"/>
        <v>16199999.999999998</v>
      </c>
    </row>
    <row r="29" spans="2:11" ht="15.75">
      <c r="B29" s="631"/>
      <c r="C29" s="632"/>
      <c r="D29" s="632"/>
      <c r="E29" s="632"/>
      <c r="F29" s="632"/>
      <c r="G29" s="632"/>
      <c r="H29" s="27"/>
      <c r="I29" s="28"/>
      <c r="J29" s="630" t="s">
        <v>358</v>
      </c>
      <c r="K29" s="625">
        <f>SUM(K24:K28)</f>
        <v>218158125</v>
      </c>
    </row>
    <row r="30" spans="2:11" ht="15.75">
      <c r="B30" s="14" t="s">
        <v>19</v>
      </c>
      <c r="C30" s="626" t="s">
        <v>515</v>
      </c>
      <c r="D30" s="632"/>
      <c r="E30" s="632"/>
      <c r="F30" s="632"/>
      <c r="G30" s="632"/>
      <c r="H30" s="27"/>
      <c r="I30" s="28"/>
      <c r="J30" s="33"/>
      <c r="K30" s="624"/>
    </row>
    <row r="31" spans="2:11" ht="15.75">
      <c r="B31" s="631">
        <v>1</v>
      </c>
      <c r="C31" s="632" t="s">
        <v>516</v>
      </c>
      <c r="D31" s="632"/>
      <c r="E31" s="632"/>
      <c r="F31" s="632"/>
      <c r="G31" s="632"/>
      <c r="H31" s="27" t="s">
        <v>32</v>
      </c>
      <c r="I31" s="28">
        <v>1</v>
      </c>
      <c r="J31" s="33">
        <v>20000000</v>
      </c>
      <c r="K31" s="624">
        <f t="shared" ref="K31:K32" si="2">J31*I31</f>
        <v>20000000</v>
      </c>
    </row>
    <row r="32" spans="2:11" ht="15.75">
      <c r="B32" s="631">
        <f>B31+1</f>
        <v>2</v>
      </c>
      <c r="C32" s="632" t="s">
        <v>517</v>
      </c>
      <c r="D32" s="632"/>
      <c r="E32" s="632"/>
      <c r="F32" s="632"/>
      <c r="G32" s="632"/>
      <c r="H32" s="27" t="s">
        <v>32</v>
      </c>
      <c r="I32" s="28">
        <v>4</v>
      </c>
      <c r="J32" s="33">
        <v>2500000</v>
      </c>
      <c r="K32" s="624">
        <f t="shared" si="2"/>
        <v>10000000</v>
      </c>
    </row>
    <row r="33" spans="2:11" ht="15.75">
      <c r="B33" s="631"/>
      <c r="C33" s="632"/>
      <c r="D33" s="632"/>
      <c r="E33" s="632"/>
      <c r="F33" s="632"/>
      <c r="G33" s="632"/>
      <c r="H33" s="27"/>
      <c r="I33" s="28"/>
      <c r="J33" s="630" t="s">
        <v>361</v>
      </c>
      <c r="K33" s="625">
        <f>SUM(K31:K32)</f>
        <v>30000000</v>
      </c>
    </row>
    <row r="34" spans="2:11" ht="15.75">
      <c r="B34" s="14" t="s">
        <v>22</v>
      </c>
      <c r="C34" s="626" t="s">
        <v>518</v>
      </c>
      <c r="D34" s="632"/>
      <c r="E34" s="632"/>
      <c r="F34" s="632"/>
      <c r="G34" s="632"/>
      <c r="H34" s="27"/>
      <c r="I34" s="28"/>
      <c r="J34" s="33"/>
      <c r="K34" s="624"/>
    </row>
    <row r="35" spans="2:11" ht="15.75">
      <c r="B35" s="631">
        <v>1</v>
      </c>
      <c r="C35" s="632" t="s">
        <v>519</v>
      </c>
      <c r="D35" s="632"/>
      <c r="E35" s="632"/>
      <c r="F35" s="632"/>
      <c r="G35" s="632"/>
      <c r="H35" s="27" t="s">
        <v>32</v>
      </c>
      <c r="I35" s="28">
        <v>6</v>
      </c>
      <c r="J35" s="33">
        <v>2000000</v>
      </c>
      <c r="K35" s="624">
        <f t="shared" ref="K35:K38" si="3">J35*I35</f>
        <v>12000000</v>
      </c>
    </row>
    <row r="36" spans="2:11" ht="15.75">
      <c r="B36" s="631">
        <f>B35+1</f>
        <v>2</v>
      </c>
      <c r="C36" s="632" t="s">
        <v>520</v>
      </c>
      <c r="D36" s="632"/>
      <c r="E36" s="632"/>
      <c r="F36" s="632"/>
      <c r="G36" s="632"/>
      <c r="H36" s="27" t="s">
        <v>32</v>
      </c>
      <c r="I36" s="28">
        <v>4</v>
      </c>
      <c r="J36" s="33">
        <v>3000000</v>
      </c>
      <c r="K36" s="624">
        <f t="shared" si="3"/>
        <v>12000000</v>
      </c>
    </row>
    <row r="37" spans="2:11" ht="15.75">
      <c r="B37" s="631">
        <f t="shared" ref="B37:B38" si="4">B36+1</f>
        <v>3</v>
      </c>
      <c r="C37" s="632" t="s">
        <v>521</v>
      </c>
      <c r="D37" s="632"/>
      <c r="E37" s="632"/>
      <c r="F37" s="632"/>
      <c r="G37" s="632"/>
      <c r="H37" s="27" t="s">
        <v>18</v>
      </c>
      <c r="I37" s="28">
        <v>1</v>
      </c>
      <c r="J37" s="33">
        <v>6000000</v>
      </c>
      <c r="K37" s="624">
        <f t="shared" si="3"/>
        <v>6000000</v>
      </c>
    </row>
    <row r="38" spans="2:11" ht="15.75">
      <c r="B38" s="631">
        <f t="shared" si="4"/>
        <v>4</v>
      </c>
      <c r="C38" s="632" t="s">
        <v>522</v>
      </c>
      <c r="D38" s="632"/>
      <c r="E38" s="632"/>
      <c r="F38" s="632"/>
      <c r="G38" s="632"/>
      <c r="H38" s="27" t="s">
        <v>32</v>
      </c>
      <c r="I38" s="28">
        <v>1</v>
      </c>
      <c r="J38" s="33">
        <v>15000000</v>
      </c>
      <c r="K38" s="624">
        <f t="shared" si="3"/>
        <v>15000000</v>
      </c>
    </row>
    <row r="39" spans="2:11" ht="15.75">
      <c r="B39" s="631"/>
      <c r="C39" s="632"/>
      <c r="D39" s="632"/>
      <c r="E39" s="632"/>
      <c r="F39" s="632"/>
      <c r="G39" s="632"/>
      <c r="H39" s="27"/>
      <c r="I39" s="28"/>
      <c r="J39" s="630" t="s">
        <v>365</v>
      </c>
      <c r="K39" s="625">
        <f>SUM(K35:K38)</f>
        <v>45000000</v>
      </c>
    </row>
    <row r="40" spans="2:11" ht="15.75">
      <c r="B40" s="14" t="s">
        <v>25</v>
      </c>
      <c r="C40" s="626" t="s">
        <v>523</v>
      </c>
      <c r="D40" s="632"/>
      <c r="E40" s="632"/>
      <c r="F40" s="632"/>
      <c r="G40" s="632"/>
      <c r="H40" s="27"/>
      <c r="I40" s="28"/>
      <c r="J40" s="33"/>
      <c r="K40" s="624"/>
    </row>
    <row r="41" spans="2:11" ht="15.75">
      <c r="B41" s="631">
        <v>1</v>
      </c>
      <c r="C41" s="632" t="s">
        <v>524</v>
      </c>
      <c r="D41" s="632"/>
      <c r="E41" s="632"/>
      <c r="F41" s="632"/>
      <c r="G41" s="632"/>
      <c r="H41" s="27" t="s">
        <v>32</v>
      </c>
      <c r="I41" s="28">
        <f>I43</f>
        <v>106.19499999999999</v>
      </c>
      <c r="J41" s="33">
        <v>120000</v>
      </c>
      <c r="K41" s="624">
        <f t="shared" ref="K41:K43" si="5">J41*I41</f>
        <v>12743400</v>
      </c>
    </row>
    <row r="42" spans="2:11" ht="15.75">
      <c r="B42" s="631">
        <f>B41+1</f>
        <v>2</v>
      </c>
      <c r="C42" s="632" t="s">
        <v>525</v>
      </c>
      <c r="D42" s="632"/>
      <c r="E42" s="632"/>
      <c r="F42" s="632"/>
      <c r="G42" s="632"/>
      <c r="H42" s="27" t="s">
        <v>14</v>
      </c>
      <c r="I42" s="28">
        <f>5*6</f>
        <v>30</v>
      </c>
      <c r="J42" s="33">
        <v>2500000</v>
      </c>
      <c r="K42" s="624">
        <f t="shared" si="5"/>
        <v>75000000</v>
      </c>
    </row>
    <row r="43" spans="2:11" ht="15.75">
      <c r="B43" s="631">
        <f>B42+1</f>
        <v>3</v>
      </c>
      <c r="C43" s="632" t="s">
        <v>526</v>
      </c>
      <c r="D43" s="632"/>
      <c r="E43" s="632"/>
      <c r="F43" s="632"/>
      <c r="G43" s="632"/>
      <c r="H43" s="27" t="s">
        <v>14</v>
      </c>
      <c r="I43" s="28">
        <f>I27/0.2</f>
        <v>106.19499999999999</v>
      </c>
      <c r="J43" s="33">
        <v>150000</v>
      </c>
      <c r="K43" s="624">
        <f t="shared" si="5"/>
        <v>15929249.999999998</v>
      </c>
    </row>
    <row r="44" spans="2:11" ht="15.75">
      <c r="B44" s="631"/>
      <c r="C44" s="632"/>
      <c r="D44" s="632"/>
      <c r="E44" s="632"/>
      <c r="F44" s="632"/>
      <c r="G44" s="632"/>
      <c r="H44" s="27"/>
      <c r="I44" s="28"/>
      <c r="J44" s="33"/>
      <c r="K44" s="624"/>
    </row>
    <row r="45" spans="2:11" ht="15.75">
      <c r="B45" s="631"/>
      <c r="C45" s="632"/>
      <c r="D45" s="632"/>
      <c r="E45" s="632"/>
      <c r="F45" s="632"/>
      <c r="G45" s="632"/>
      <c r="H45" s="27"/>
      <c r="I45" s="28"/>
      <c r="J45" s="630" t="s">
        <v>368</v>
      </c>
      <c r="K45" s="625">
        <f>SUM(K41:K43)</f>
        <v>103672650</v>
      </c>
    </row>
    <row r="46" spans="2:11" ht="15.75">
      <c r="B46" s="631"/>
      <c r="C46" s="632"/>
      <c r="D46" s="632"/>
      <c r="E46" s="632"/>
      <c r="F46" s="632"/>
      <c r="G46" s="632"/>
      <c r="H46" s="27"/>
      <c r="I46" s="28"/>
      <c r="J46" s="33"/>
      <c r="K46" s="624"/>
    </row>
    <row r="47" spans="2:11" ht="15.75">
      <c r="B47" s="631"/>
      <c r="C47" s="632"/>
      <c r="D47" s="632"/>
      <c r="E47" s="632"/>
      <c r="F47" s="632"/>
      <c r="G47" s="632"/>
      <c r="H47" s="27"/>
      <c r="I47" s="28"/>
      <c r="J47" s="33"/>
      <c r="K47" s="624"/>
    </row>
    <row r="48" spans="2:11" ht="16.5" thickBot="1">
      <c r="B48" s="633"/>
      <c r="C48" s="634"/>
      <c r="D48" s="634"/>
      <c r="E48" s="634"/>
      <c r="F48" s="634"/>
      <c r="G48" s="634"/>
      <c r="H48" s="635"/>
      <c r="I48" s="636"/>
      <c r="J48" s="637"/>
      <c r="K48" s="638"/>
    </row>
    <row r="49" spans="2:12" ht="17.25" thickTop="1" thickBot="1">
      <c r="B49" s="639"/>
      <c r="C49" s="640"/>
      <c r="D49" s="640"/>
      <c r="E49" s="640"/>
      <c r="F49" s="640"/>
      <c r="G49" s="640"/>
      <c r="H49" s="640"/>
      <c r="I49" s="640"/>
      <c r="J49" s="641" t="s">
        <v>41</v>
      </c>
      <c r="K49" s="642">
        <f>SUM(K15:K48)/2</f>
        <v>427790775</v>
      </c>
    </row>
    <row r="50" spans="2:12" s="643" customFormat="1" ht="15.75" thickTop="1">
      <c r="B50"/>
      <c r="C50"/>
      <c r="D50"/>
      <c r="E50"/>
      <c r="F50"/>
      <c r="G50"/>
      <c r="H50"/>
      <c r="I50"/>
      <c r="J50"/>
      <c r="L50"/>
    </row>
    <row r="56" spans="2:12" s="643" customFormat="1">
      <c r="B56"/>
      <c r="C56"/>
      <c r="D56"/>
      <c r="E56"/>
      <c r="F56"/>
      <c r="G56"/>
      <c r="H56"/>
      <c r="I56"/>
      <c r="J56" s="644"/>
      <c r="L56"/>
    </row>
  </sheetData>
  <mergeCells count="1">
    <mergeCell ref="I7:K7"/>
  </mergeCells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306595-1885-4D90-B21D-ED017D52E686}">
  <sheetPr>
    <tabColor rgb="FFFFFF00"/>
    <pageSetUpPr fitToPage="1"/>
  </sheetPr>
  <dimension ref="A2:L40"/>
  <sheetViews>
    <sheetView workbookViewId="0">
      <selection activeCell="F9" sqref="F9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7.57031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616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946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Gardu Listrik PLN Blok A</v>
      </c>
      <c r="D13" s="58"/>
      <c r="E13" s="58"/>
      <c r="F13" s="58"/>
      <c r="G13" s="58"/>
      <c r="H13" s="59"/>
    </row>
    <row r="14" spans="1:12" s="60" customFormat="1">
      <c r="A14" s="39"/>
      <c r="B14" s="49"/>
      <c r="C14" s="58"/>
      <c r="D14" s="58"/>
      <c r="E14" s="58"/>
      <c r="F14" s="58"/>
      <c r="G14" s="58"/>
      <c r="H14" s="59"/>
      <c r="I14" s="39"/>
      <c r="J14" s="39"/>
      <c r="K14" s="39"/>
      <c r="L14" s="39"/>
    </row>
    <row r="15" spans="1:12" s="60" customFormat="1">
      <c r="A15" s="39"/>
      <c r="B15" s="61" t="s">
        <v>11</v>
      </c>
      <c r="C15" s="616" t="str">
        <f>'Bq Gardupln'!C14</f>
        <v>Pekerjaan Tanah</v>
      </c>
      <c r="D15" s="62"/>
      <c r="E15" s="62"/>
      <c r="F15" s="62"/>
      <c r="G15" s="62"/>
      <c r="H15" s="66">
        <f>'Bq Gardupln'!K18</f>
        <v>27024500</v>
      </c>
      <c r="I15" s="39"/>
      <c r="J15" s="39"/>
      <c r="K15" s="39"/>
      <c r="L15" s="39"/>
    </row>
    <row r="16" spans="1:12">
      <c r="B16" s="63"/>
      <c r="C16" s="64"/>
      <c r="D16" s="37"/>
      <c r="E16" s="37"/>
      <c r="F16" s="37"/>
      <c r="G16" s="37"/>
      <c r="H16" s="65"/>
    </row>
    <row r="17" spans="1:12" s="60" customFormat="1">
      <c r="A17" s="39"/>
      <c r="B17" s="61" t="s">
        <v>12</v>
      </c>
      <c r="C17" s="616" t="str">
        <f>'Bq Gardupln'!C19</f>
        <v>Pekerjaan Pondasi</v>
      </c>
      <c r="D17" s="62"/>
      <c r="E17" s="62"/>
      <c r="F17" s="62"/>
      <c r="G17" s="62"/>
      <c r="H17" s="66">
        <f>'Bq Gardupln'!K22</f>
        <v>30430000.000000004</v>
      </c>
      <c r="I17" s="39"/>
      <c r="J17" s="39"/>
      <c r="K17" s="39"/>
      <c r="L17" s="39"/>
    </row>
    <row r="18" spans="1:12" s="60" customFormat="1">
      <c r="A18" s="39"/>
      <c r="B18" s="63"/>
      <c r="C18" s="67"/>
      <c r="D18" s="67"/>
      <c r="E18" s="67"/>
      <c r="F18" s="67"/>
      <c r="G18" s="67"/>
      <c r="H18" s="34"/>
      <c r="I18" s="39"/>
      <c r="J18" s="39"/>
      <c r="K18" s="39"/>
      <c r="L18" s="39"/>
    </row>
    <row r="19" spans="1:12">
      <c r="B19" s="61" t="s">
        <v>16</v>
      </c>
      <c r="C19" s="616" t="str">
        <f>'Bq Gardupln'!C23</f>
        <v>Pekerjaan Beton Bertulang</v>
      </c>
      <c r="D19" s="62"/>
      <c r="E19" s="62"/>
      <c r="F19" s="62"/>
      <c r="G19" s="62"/>
      <c r="H19" s="66">
        <f>'Bq Gardupln'!K30</f>
        <v>107186250</v>
      </c>
    </row>
    <row r="20" spans="1:12" s="60" customFormat="1">
      <c r="A20" s="39"/>
      <c r="B20" s="63"/>
      <c r="C20" s="64"/>
      <c r="D20" s="37"/>
      <c r="E20" s="37"/>
      <c r="F20" s="37"/>
      <c r="G20" s="37"/>
      <c r="H20" s="34"/>
      <c r="I20" s="39"/>
      <c r="J20" s="39"/>
      <c r="K20" s="39"/>
      <c r="L20" s="39"/>
    </row>
    <row r="21" spans="1:12" s="60" customFormat="1">
      <c r="A21" s="39"/>
      <c r="B21" s="61" t="s">
        <v>19</v>
      </c>
      <c r="C21" s="617" t="str">
        <f>'Bq Gardupln'!C31</f>
        <v xml:space="preserve">Pekerjaan Dinding </v>
      </c>
      <c r="D21" s="37"/>
      <c r="E21" s="37"/>
      <c r="F21" s="37"/>
      <c r="G21" s="37"/>
      <c r="H21" s="34">
        <f>'Bq Gardupln'!K35</f>
        <v>30559000</v>
      </c>
      <c r="I21" s="39"/>
      <c r="J21" s="39"/>
      <c r="K21" s="39"/>
      <c r="L21" s="39"/>
    </row>
    <row r="22" spans="1:12" s="60" customFormat="1">
      <c r="A22" s="39"/>
      <c r="B22" s="63"/>
      <c r="C22" s="68"/>
      <c r="D22" s="37"/>
      <c r="E22" s="37"/>
      <c r="F22" s="37"/>
      <c r="G22" s="37"/>
      <c r="H22" s="65"/>
      <c r="I22" s="39"/>
      <c r="J22" s="39"/>
      <c r="K22" s="39"/>
      <c r="L22" s="39"/>
    </row>
    <row r="23" spans="1:12">
      <c r="B23" s="63" t="s">
        <v>22</v>
      </c>
      <c r="C23" s="618" t="str">
        <f>'Bq Gardupln'!C36</f>
        <v>Pekerjaan Pelapis Dinding</v>
      </c>
      <c r="D23" s="37"/>
      <c r="E23" s="37"/>
      <c r="F23" s="37"/>
      <c r="G23" s="37"/>
      <c r="H23" s="34">
        <f>'Bq Gardupln'!K39</f>
        <v>32536000</v>
      </c>
    </row>
    <row r="24" spans="1:12" s="60" customFormat="1">
      <c r="A24" s="39"/>
      <c r="B24" s="63"/>
      <c r="C24" s="36"/>
      <c r="D24" s="37"/>
      <c r="E24" s="37"/>
      <c r="F24" s="37"/>
      <c r="G24" s="37"/>
      <c r="H24" s="65"/>
      <c r="I24" s="39"/>
      <c r="J24" s="39"/>
      <c r="K24" s="39"/>
      <c r="L24" s="39"/>
    </row>
    <row r="25" spans="1:12" s="60" customFormat="1">
      <c r="A25" s="39"/>
      <c r="B25" s="61" t="s">
        <v>25</v>
      </c>
      <c r="C25" s="619" t="str">
        <f>'Bq Gardupln'!C40</f>
        <v>Pekerjaan Pengecatan dan Aquaproof</v>
      </c>
      <c r="D25" s="37"/>
      <c r="E25" s="37"/>
      <c r="F25" s="37"/>
      <c r="G25" s="37"/>
      <c r="H25" s="34">
        <f>'Bq Gardupln'!K45</f>
        <v>62458000</v>
      </c>
      <c r="I25" s="39"/>
      <c r="J25" s="39"/>
      <c r="K25" s="39"/>
      <c r="L25" s="39"/>
    </row>
    <row r="26" spans="1:12" s="60" customFormat="1">
      <c r="A26" s="39"/>
      <c r="B26" s="63"/>
      <c r="C26" s="36"/>
      <c r="D26" s="67"/>
      <c r="E26" s="37"/>
      <c r="F26" s="37"/>
      <c r="G26" s="37"/>
      <c r="H26" s="34"/>
      <c r="I26" s="39"/>
      <c r="J26" s="39"/>
      <c r="K26" s="39"/>
      <c r="L26" s="39"/>
    </row>
    <row r="27" spans="1:12">
      <c r="B27" s="61" t="s">
        <v>27</v>
      </c>
      <c r="C27" s="619" t="str">
        <f>'Bq Gardupln'!C46</f>
        <v>Pekerjaan Pintu Jendela</v>
      </c>
      <c r="D27" s="37"/>
      <c r="E27" s="37"/>
      <c r="F27" s="37"/>
      <c r="G27" s="37"/>
      <c r="H27" s="34">
        <f>'Bq Gardupln'!K50</f>
        <v>11450000</v>
      </c>
    </row>
    <row r="28" spans="1:12">
      <c r="B28" s="63"/>
      <c r="C28" s="36"/>
      <c r="D28" s="37"/>
      <c r="E28" s="37"/>
      <c r="F28" s="37"/>
      <c r="G28" s="37"/>
      <c r="H28" s="34"/>
    </row>
    <row r="29" spans="1:12">
      <c r="B29" s="61" t="s">
        <v>28</v>
      </c>
      <c r="C29" s="619" t="str">
        <f>'Bq Gardupln'!C51</f>
        <v>Pekerjaan Plumbing</v>
      </c>
      <c r="D29" s="37"/>
      <c r="E29" s="37"/>
      <c r="F29" s="37"/>
      <c r="G29" s="37"/>
      <c r="H29" s="34">
        <f>'Bq Gardupln'!K53</f>
        <v>1200000</v>
      </c>
    </row>
    <row r="30" spans="1:12">
      <c r="B30" s="63"/>
      <c r="C30" s="36"/>
      <c r="D30" s="37"/>
      <c r="E30" s="37"/>
      <c r="F30" s="37"/>
      <c r="G30" s="37"/>
      <c r="H30" s="65"/>
    </row>
    <row r="31" spans="1:12">
      <c r="B31" s="61" t="s">
        <v>30</v>
      </c>
      <c r="C31" s="619" t="str">
        <f>'Bq Gardupln'!C54</f>
        <v>Pekerjaan Listrik</v>
      </c>
      <c r="D31" s="37"/>
      <c r="E31" s="37"/>
      <c r="F31" s="37"/>
      <c r="G31" s="37"/>
      <c r="H31" s="34">
        <f>'Bq Gardupln'!K60</f>
        <v>3080000</v>
      </c>
    </row>
    <row r="32" spans="1:12">
      <c r="B32" s="63"/>
      <c r="C32" s="36"/>
      <c r="D32" s="37"/>
      <c r="E32" s="37"/>
      <c r="F32" s="37"/>
      <c r="G32" s="37"/>
      <c r="H32" s="34"/>
    </row>
    <row r="33" spans="2:8" ht="16.5" thickBot="1">
      <c r="B33" s="69"/>
      <c r="C33" s="70"/>
      <c r="D33" s="70"/>
      <c r="E33" s="70"/>
      <c r="F33" s="70"/>
      <c r="G33" s="70"/>
      <c r="H33" s="71"/>
    </row>
    <row r="34" spans="2:8" ht="17.25" thickTop="1" thickBot="1">
      <c r="B34" s="72"/>
      <c r="C34" s="73"/>
      <c r="D34" s="73"/>
      <c r="E34" s="73"/>
      <c r="F34" s="74" t="s">
        <v>41</v>
      </c>
      <c r="G34" s="74"/>
      <c r="H34" s="75">
        <f>SUM(H15:H33)</f>
        <v>305923750</v>
      </c>
    </row>
    <row r="35" spans="2:8" ht="16.5" thickTop="1">
      <c r="B35" s="76"/>
      <c r="C35" s="77"/>
      <c r="D35" s="77"/>
      <c r="E35" s="77"/>
      <c r="F35" s="77"/>
      <c r="G35" s="77"/>
      <c r="H35" s="78"/>
    </row>
    <row r="36" spans="2:8">
      <c r="B36" s="79"/>
      <c r="C36" s="56"/>
      <c r="D36" s="56"/>
      <c r="E36" s="58"/>
      <c r="G36" s="43"/>
      <c r="H36" s="80"/>
    </row>
    <row r="37" spans="2:8">
      <c r="B37" s="81"/>
      <c r="C37" s="41"/>
      <c r="E37" s="44"/>
      <c r="H37" s="82"/>
    </row>
    <row r="38" spans="2:8">
      <c r="B38" s="81"/>
      <c r="C38" s="41"/>
      <c r="E38" s="44"/>
      <c r="H38" s="83"/>
    </row>
    <row r="39" spans="2:8" ht="16.5" thickBot="1">
      <c r="B39" s="84"/>
      <c r="C39" s="85"/>
      <c r="D39" s="85"/>
      <c r="E39" s="85"/>
      <c r="F39" s="85"/>
      <c r="G39" s="85"/>
      <c r="H39" s="86"/>
    </row>
    <row r="40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C78BF1-D3DF-4BF2-BD28-022EA5667C50}">
  <dimension ref="B2:M69"/>
  <sheetViews>
    <sheetView topLeftCell="A13" workbookViewId="0">
      <selection activeCell="J15" sqref="J15:J22"/>
    </sheetView>
  </sheetViews>
  <sheetFormatPr defaultRowHeight="15"/>
  <cols>
    <col min="7" max="7" width="34.85546875" customWidth="1"/>
    <col min="10" max="10" width="12.28515625" bestFit="1" customWidth="1"/>
    <col min="11" max="11" width="15.5703125" style="643" customWidth="1"/>
  </cols>
  <sheetData>
    <row r="2" spans="2:11" ht="15.75">
      <c r="B2" s="4" t="s">
        <v>0</v>
      </c>
      <c r="C2" s="2"/>
      <c r="D2" s="1"/>
      <c r="E2" s="5"/>
      <c r="F2" s="6"/>
      <c r="G2" s="1"/>
      <c r="H2" s="1"/>
      <c r="I2" s="1"/>
      <c r="J2" s="3"/>
      <c r="K2" s="3"/>
    </row>
    <row r="3" spans="2:11" ht="15.75">
      <c r="B3" s="4" t="str">
        <f>'24SUMGardupln'!B4</f>
        <v>Bangunan Gardu Listrik PLN Blok A</v>
      </c>
      <c r="C3" s="2"/>
      <c r="D3" s="1"/>
      <c r="E3" s="5"/>
      <c r="F3" s="6"/>
      <c r="G3" s="1"/>
      <c r="H3" s="1"/>
      <c r="I3" s="1"/>
      <c r="J3" s="3"/>
      <c r="K3" s="3"/>
    </row>
    <row r="4" spans="2:11" ht="15.75">
      <c r="B4" s="7" t="s">
        <v>1</v>
      </c>
      <c r="C4" s="2"/>
      <c r="D4" s="1"/>
      <c r="E4" s="5"/>
      <c r="F4" s="6"/>
      <c r="G4" s="1"/>
      <c r="H4" s="1"/>
      <c r="I4" s="1"/>
      <c r="J4" s="3"/>
      <c r="K4" s="3"/>
    </row>
    <row r="5" spans="2:11" ht="15.75">
      <c r="B5" s="4" t="s">
        <v>2</v>
      </c>
      <c r="C5" s="2"/>
      <c r="D5" s="1"/>
      <c r="E5" s="5"/>
      <c r="F5" s="6"/>
      <c r="G5" s="1"/>
      <c r="H5" s="1"/>
      <c r="I5" s="1"/>
      <c r="J5" s="3"/>
      <c r="K5" s="3"/>
    </row>
    <row r="6" spans="2:11" ht="15.75">
      <c r="B6" s="7" t="s">
        <v>3</v>
      </c>
      <c r="C6" s="2"/>
      <c r="D6" s="1"/>
      <c r="E6" s="5"/>
      <c r="F6" s="6"/>
      <c r="G6" s="1"/>
      <c r="H6" s="1"/>
      <c r="I6" s="1"/>
      <c r="J6" s="3"/>
      <c r="K6" s="3"/>
    </row>
    <row r="7" spans="2:11" ht="16.5" thickBot="1">
      <c r="B7" s="1"/>
      <c r="C7" s="1"/>
      <c r="D7" s="1"/>
      <c r="E7" s="1"/>
      <c r="F7" s="1"/>
      <c r="G7" s="1"/>
      <c r="H7" s="1"/>
      <c r="I7" s="1136" t="str">
        <f>'24SUMGardupln'!F8</f>
        <v>No. 024/RAB-Blok A -SSBP/I/2021</v>
      </c>
      <c r="J7" s="1136"/>
      <c r="K7" s="1136"/>
    </row>
    <row r="8" spans="2:11" ht="16.5" thickTop="1">
      <c r="B8" s="8"/>
      <c r="C8" s="9"/>
      <c r="D8" s="9"/>
      <c r="E8" s="9"/>
      <c r="F8" s="9"/>
      <c r="G8" s="9"/>
      <c r="H8" s="10"/>
      <c r="I8" s="11"/>
      <c r="J8" s="12" t="s">
        <v>4</v>
      </c>
      <c r="K8" s="620" t="s">
        <v>5</v>
      </c>
    </row>
    <row r="9" spans="2:11" ht="15.75">
      <c r="B9" s="14" t="s">
        <v>6</v>
      </c>
      <c r="C9" s="15" t="s">
        <v>7</v>
      </c>
      <c r="D9" s="15"/>
      <c r="E9" s="15"/>
      <c r="F9" s="15"/>
      <c r="G9" s="15"/>
      <c r="H9" s="16" t="s">
        <v>8</v>
      </c>
      <c r="I9" s="17" t="s">
        <v>9</v>
      </c>
      <c r="J9" s="18" t="s">
        <v>8</v>
      </c>
      <c r="K9" s="621" t="s">
        <v>4</v>
      </c>
    </row>
    <row r="10" spans="2:11" ht="16.5" thickBot="1">
      <c r="B10" s="20"/>
      <c r="C10" s="21"/>
      <c r="D10" s="21"/>
      <c r="E10" s="21"/>
      <c r="F10" s="21"/>
      <c r="G10" s="21"/>
      <c r="H10" s="22"/>
      <c r="I10" s="23"/>
      <c r="J10" s="24" t="s">
        <v>10</v>
      </c>
      <c r="K10" s="622" t="s">
        <v>10</v>
      </c>
    </row>
    <row r="11" spans="2:11" ht="16.5" thickTop="1">
      <c r="B11" s="623"/>
      <c r="C11" s="26"/>
      <c r="D11" s="26"/>
      <c r="E11" s="26"/>
      <c r="F11" s="26"/>
      <c r="G11" s="26"/>
      <c r="H11" s="27"/>
      <c r="I11" s="28"/>
      <c r="J11" s="29"/>
      <c r="K11" s="624"/>
    </row>
    <row r="12" spans="2:11" ht="15.75">
      <c r="B12" s="14"/>
      <c r="C12" s="4" t="s">
        <v>527</v>
      </c>
      <c r="D12" s="30"/>
      <c r="E12" s="30"/>
      <c r="F12" s="30"/>
      <c r="G12" s="30"/>
      <c r="H12" s="16"/>
      <c r="I12" s="31"/>
      <c r="J12" s="32"/>
      <c r="K12" s="625"/>
    </row>
    <row r="13" spans="2:11" ht="15.75">
      <c r="B13" s="14"/>
      <c r="C13" s="30"/>
      <c r="D13" s="30"/>
      <c r="E13" s="30"/>
      <c r="F13" s="30"/>
      <c r="G13" s="30"/>
      <c r="H13" s="16"/>
      <c r="I13" s="31"/>
      <c r="J13" s="32"/>
      <c r="K13" s="625"/>
    </row>
    <row r="14" spans="2:11" ht="15.75">
      <c r="B14" s="14" t="s">
        <v>11</v>
      </c>
      <c r="C14" s="626" t="s">
        <v>13</v>
      </c>
      <c r="D14" s="626"/>
      <c r="E14" s="626"/>
      <c r="F14" s="626"/>
      <c r="G14" s="626"/>
      <c r="H14" s="16"/>
      <c r="I14" s="31"/>
      <c r="J14" s="32"/>
      <c r="K14" s="625"/>
    </row>
    <row r="15" spans="2:11" ht="15.75">
      <c r="B15" s="627">
        <v>1</v>
      </c>
      <c r="C15" s="628" t="s">
        <v>503</v>
      </c>
      <c r="D15" s="628"/>
      <c r="E15" s="628"/>
      <c r="F15" s="628"/>
      <c r="G15" s="628"/>
      <c r="H15" s="629" t="s">
        <v>15</v>
      </c>
      <c r="I15" s="28">
        <f>[86]Angardu!$J$5</f>
        <v>17</v>
      </c>
      <c r="J15" s="33">
        <f>'[86]03BqKabag'!$J$18</f>
        <v>1000000</v>
      </c>
      <c r="K15" s="624">
        <f>J15*I15</f>
        <v>17000000</v>
      </c>
    </row>
    <row r="16" spans="2:11" ht="15.75">
      <c r="B16" s="627">
        <f>B15+1</f>
        <v>2</v>
      </c>
      <c r="C16" s="628" t="s">
        <v>528</v>
      </c>
      <c r="D16" s="628"/>
      <c r="E16" s="628"/>
      <c r="F16" s="628"/>
      <c r="G16" s="628"/>
      <c r="H16" s="629" t="s">
        <v>15</v>
      </c>
      <c r="I16" s="28">
        <f>[86]Angardu!$J$10</f>
        <v>10.199999999999999</v>
      </c>
      <c r="J16" s="33">
        <v>60000</v>
      </c>
      <c r="K16" s="624">
        <f t="shared" ref="K16:K17" si="0">J16*I16</f>
        <v>612000</v>
      </c>
    </row>
    <row r="17" spans="2:11" ht="15.75">
      <c r="B17" s="627">
        <f>B16+1</f>
        <v>3</v>
      </c>
      <c r="C17" s="628" t="s">
        <v>529</v>
      </c>
      <c r="D17" s="628"/>
      <c r="E17" s="628"/>
      <c r="F17" s="628"/>
      <c r="G17" s="628"/>
      <c r="H17" s="629" t="s">
        <v>15</v>
      </c>
      <c r="I17" s="28">
        <f>[86]Angardu!$J$12</f>
        <v>37.649999999999991</v>
      </c>
      <c r="J17" s="33">
        <v>250000</v>
      </c>
      <c r="K17" s="624">
        <f t="shared" si="0"/>
        <v>9412499.9999999981</v>
      </c>
    </row>
    <row r="18" spans="2:11" ht="15.75">
      <c r="B18" s="14"/>
      <c r="C18" s="626"/>
      <c r="D18" s="626"/>
      <c r="E18" s="626"/>
      <c r="F18" s="626"/>
      <c r="G18" s="626"/>
      <c r="H18" s="16"/>
      <c r="I18" s="28"/>
      <c r="J18" s="630" t="s">
        <v>348</v>
      </c>
      <c r="K18" s="625">
        <f>SUM(K15:K17)</f>
        <v>27024500</v>
      </c>
    </row>
    <row r="19" spans="2:11" ht="15.75">
      <c r="B19" s="14" t="s">
        <v>12</v>
      </c>
      <c r="C19" s="626" t="s">
        <v>505</v>
      </c>
      <c r="D19" s="626"/>
      <c r="E19" s="626"/>
      <c r="F19" s="626"/>
      <c r="G19" s="626"/>
      <c r="H19" s="16"/>
      <c r="I19" s="28"/>
      <c r="J19" s="33"/>
      <c r="K19" s="624"/>
    </row>
    <row r="20" spans="2:11" ht="15.75">
      <c r="B20" s="627">
        <v>1</v>
      </c>
      <c r="C20" s="628" t="s">
        <v>211</v>
      </c>
      <c r="D20" s="628"/>
      <c r="E20" s="628"/>
      <c r="F20" s="628"/>
      <c r="G20" s="628"/>
      <c r="H20" s="27" t="s">
        <v>15</v>
      </c>
      <c r="I20" s="28">
        <f>[86]Angardu!$J$17</f>
        <v>14.960000000000003</v>
      </c>
      <c r="J20" s="33">
        <f>'[86]03BqKabag'!$J$23</f>
        <v>2000000</v>
      </c>
      <c r="K20" s="624">
        <f t="shared" ref="K20:K21" si="1">J20*I20</f>
        <v>29920000.000000004</v>
      </c>
    </row>
    <row r="21" spans="2:11" ht="15.75">
      <c r="B21" s="627">
        <f>B20+1</f>
        <v>2</v>
      </c>
      <c r="C21" s="628" t="s">
        <v>508</v>
      </c>
      <c r="D21" s="628"/>
      <c r="E21" s="628"/>
      <c r="F21" s="628"/>
      <c r="G21" s="628"/>
      <c r="H21" s="27" t="s">
        <v>15</v>
      </c>
      <c r="I21" s="28">
        <f>[86]Angardu!$J$21</f>
        <v>1.02</v>
      </c>
      <c r="J21" s="33">
        <f>'[86]03BqKabag'!$J$27</f>
        <v>500000</v>
      </c>
      <c r="K21" s="624">
        <f t="shared" si="1"/>
        <v>510000</v>
      </c>
    </row>
    <row r="22" spans="2:11" ht="15.75">
      <c r="B22" s="14"/>
      <c r="C22" s="626"/>
      <c r="D22" s="626"/>
      <c r="E22" s="626"/>
      <c r="F22" s="626"/>
      <c r="G22" s="626"/>
      <c r="H22" s="27"/>
      <c r="I22" s="28"/>
      <c r="J22" s="630" t="s">
        <v>353</v>
      </c>
      <c r="K22" s="625">
        <f>SUM(K20:K21)</f>
        <v>30430000.000000004</v>
      </c>
    </row>
    <row r="23" spans="2:11" ht="15.75">
      <c r="B23" s="14" t="s">
        <v>16</v>
      </c>
      <c r="C23" s="626" t="s">
        <v>509</v>
      </c>
      <c r="D23" s="626"/>
      <c r="E23" s="626"/>
      <c r="F23" s="626"/>
      <c r="G23" s="626"/>
      <c r="H23" s="27"/>
      <c r="I23" s="28"/>
      <c r="J23" s="33"/>
      <c r="K23" s="624"/>
    </row>
    <row r="24" spans="2:11" ht="15.75">
      <c r="B24" s="14"/>
      <c r="C24" s="628" t="s">
        <v>530</v>
      </c>
      <c r="D24" s="626"/>
      <c r="E24" s="626"/>
      <c r="F24" s="626"/>
      <c r="G24" s="626"/>
      <c r="H24" s="27"/>
      <c r="I24" s="28"/>
      <c r="J24" s="33"/>
      <c r="K24" s="624"/>
    </row>
    <row r="25" spans="2:11" ht="15.75">
      <c r="B25" s="627">
        <v>1</v>
      </c>
      <c r="C25" s="628" t="s">
        <v>510</v>
      </c>
      <c r="D25" s="628"/>
      <c r="E25" s="628"/>
      <c r="F25" s="628"/>
      <c r="G25" s="628"/>
      <c r="H25" s="27" t="s">
        <v>15</v>
      </c>
      <c r="I25" s="28">
        <f>[86]Angardu!$J$26</f>
        <v>1.40625</v>
      </c>
      <c r="J25" s="33">
        <v>5000000</v>
      </c>
      <c r="K25" s="624">
        <f t="shared" ref="K25:K29" si="2">J25*I25</f>
        <v>7031250</v>
      </c>
    </row>
    <row r="26" spans="2:11" ht="15.75">
      <c r="B26" s="627">
        <f>B25+1</f>
        <v>2</v>
      </c>
      <c r="C26" s="628" t="s">
        <v>511</v>
      </c>
      <c r="D26" s="628"/>
      <c r="E26" s="628"/>
      <c r="F26" s="628"/>
      <c r="G26" s="628"/>
      <c r="H26" s="27" t="s">
        <v>15</v>
      </c>
      <c r="I26" s="28">
        <f>[86]Angardu!$J$29</f>
        <v>1.5749999999999997</v>
      </c>
      <c r="J26" s="33">
        <v>5000000</v>
      </c>
      <c r="K26" s="624">
        <f t="shared" si="2"/>
        <v>7874999.9999999991</v>
      </c>
    </row>
    <row r="27" spans="2:11" ht="15.75">
      <c r="B27" s="631">
        <f>B26+1</f>
        <v>3</v>
      </c>
      <c r="C27" s="632" t="s">
        <v>531</v>
      </c>
      <c r="D27" s="632"/>
      <c r="E27" s="632"/>
      <c r="F27" s="632"/>
      <c r="G27" s="632"/>
      <c r="H27" s="27" t="s">
        <v>15</v>
      </c>
      <c r="I27" s="28">
        <f>[86]Angardu!$J$34</f>
        <v>9.6</v>
      </c>
      <c r="J27" s="33">
        <v>5000000</v>
      </c>
      <c r="K27" s="624">
        <f t="shared" si="2"/>
        <v>48000000</v>
      </c>
    </row>
    <row r="28" spans="2:11" ht="15.75">
      <c r="B28" s="631">
        <f>B27+1</f>
        <v>4</v>
      </c>
      <c r="C28" s="632" t="s">
        <v>532</v>
      </c>
      <c r="D28" s="632"/>
      <c r="E28" s="632"/>
      <c r="F28" s="632"/>
      <c r="G28" s="632"/>
      <c r="H28" s="27" t="s">
        <v>15</v>
      </c>
      <c r="I28" s="28">
        <f>[86]Angardu!$J$37</f>
        <v>0.21599999999999997</v>
      </c>
      <c r="J28" s="33">
        <v>5000000</v>
      </c>
      <c r="K28" s="624">
        <f t="shared" si="2"/>
        <v>1079999.9999999998</v>
      </c>
    </row>
    <row r="29" spans="2:11" ht="15.75">
      <c r="B29" s="631">
        <f>B28+1</f>
        <v>5</v>
      </c>
      <c r="C29" s="35" t="s">
        <v>514</v>
      </c>
      <c r="D29" s="632"/>
      <c r="E29" s="632"/>
      <c r="F29" s="632"/>
      <c r="G29" s="632"/>
      <c r="H29" s="27" t="s">
        <v>15</v>
      </c>
      <c r="I29" s="28">
        <f>[86]Angardu!$J$40</f>
        <v>9.6</v>
      </c>
      <c r="J29" s="33">
        <v>4500000</v>
      </c>
      <c r="K29" s="624">
        <f t="shared" si="2"/>
        <v>43200000</v>
      </c>
    </row>
    <row r="30" spans="2:11" ht="15.75">
      <c r="B30" s="631"/>
      <c r="C30" s="632"/>
      <c r="D30" s="632"/>
      <c r="E30" s="632"/>
      <c r="F30" s="632"/>
      <c r="G30" s="632"/>
      <c r="H30" s="27"/>
      <c r="I30" s="28"/>
      <c r="J30" s="630" t="s">
        <v>358</v>
      </c>
      <c r="K30" s="625">
        <f>SUM(K25:K29)</f>
        <v>107186250</v>
      </c>
    </row>
    <row r="31" spans="2:11" ht="15.75">
      <c r="B31" s="14" t="s">
        <v>19</v>
      </c>
      <c r="C31" s="626" t="s">
        <v>533</v>
      </c>
      <c r="D31" s="626"/>
      <c r="E31" s="626"/>
      <c r="F31" s="626"/>
      <c r="G31" s="626"/>
      <c r="H31" s="27"/>
      <c r="I31" s="28"/>
      <c r="J31" s="33"/>
      <c r="K31" s="624"/>
    </row>
    <row r="32" spans="2:11" ht="15.75">
      <c r="B32" s="627">
        <v>1</v>
      </c>
      <c r="C32" s="628" t="s">
        <v>534</v>
      </c>
      <c r="D32" s="628"/>
      <c r="E32" s="628"/>
      <c r="F32" s="628"/>
      <c r="G32" s="628"/>
      <c r="H32" s="27" t="s">
        <v>14</v>
      </c>
      <c r="I32" s="28">
        <f>[86]Angardu!$J$44</f>
        <v>111.7</v>
      </c>
      <c r="J32" s="33">
        <v>250000</v>
      </c>
      <c r="K32" s="624">
        <f t="shared" ref="K32:K34" si="3">J32*I32</f>
        <v>27925000</v>
      </c>
    </row>
    <row r="33" spans="2:11" ht="15.75">
      <c r="B33" s="631">
        <f>B32+1</f>
        <v>2</v>
      </c>
      <c r="C33" s="628" t="s">
        <v>535</v>
      </c>
      <c r="D33" s="632"/>
      <c r="E33" s="632"/>
      <c r="F33" s="632"/>
      <c r="G33" s="632"/>
      <c r="H33" s="27" t="s">
        <v>14</v>
      </c>
      <c r="I33" s="28">
        <f>[86]Angardu!$J$51</f>
        <v>9</v>
      </c>
      <c r="J33" s="33">
        <f>$J$32</f>
        <v>250000</v>
      </c>
      <c r="K33" s="624">
        <f t="shared" si="3"/>
        <v>2250000</v>
      </c>
    </row>
    <row r="34" spans="2:11" ht="15.75">
      <c r="B34" s="631">
        <f>B33+1</f>
        <v>3</v>
      </c>
      <c r="C34" s="628" t="s">
        <v>536</v>
      </c>
      <c r="D34" s="632"/>
      <c r="E34" s="632"/>
      <c r="F34" s="632"/>
      <c r="G34" s="632"/>
      <c r="H34" s="27" t="s">
        <v>14</v>
      </c>
      <c r="I34" s="28">
        <f>[86]Angardu!$J$55</f>
        <v>2.4000000000000004</v>
      </c>
      <c r="J34" s="33">
        <v>160000</v>
      </c>
      <c r="K34" s="624">
        <f t="shared" si="3"/>
        <v>384000.00000000006</v>
      </c>
    </row>
    <row r="35" spans="2:11" ht="15" customHeight="1">
      <c r="B35" s="631"/>
      <c r="C35" s="632"/>
      <c r="D35" s="632"/>
      <c r="E35" s="632"/>
      <c r="F35" s="632"/>
      <c r="G35" s="632"/>
      <c r="H35" s="27"/>
      <c r="I35" s="28"/>
      <c r="J35" s="630" t="s">
        <v>361</v>
      </c>
      <c r="K35" s="625">
        <f>SUM(K32:K34)</f>
        <v>30559000</v>
      </c>
    </row>
    <row r="36" spans="2:11" ht="15.75">
      <c r="B36" s="14" t="s">
        <v>22</v>
      </c>
      <c r="C36" s="626" t="s">
        <v>537</v>
      </c>
      <c r="D36" s="632"/>
      <c r="E36" s="632"/>
      <c r="F36" s="632"/>
      <c r="G36" s="632"/>
      <c r="H36" s="27"/>
      <c r="I36" s="28"/>
      <c r="J36" s="33"/>
      <c r="K36" s="624"/>
    </row>
    <row r="37" spans="2:11" ht="15.75">
      <c r="B37" s="631">
        <v>1</v>
      </c>
      <c r="C37" s="632" t="s">
        <v>538</v>
      </c>
      <c r="D37" s="632"/>
      <c r="E37" s="632"/>
      <c r="F37" s="632"/>
      <c r="G37" s="632"/>
      <c r="H37" s="27" t="s">
        <v>14</v>
      </c>
      <c r="I37" s="28">
        <f>[86]Angardu!$J$59</f>
        <v>223.4</v>
      </c>
      <c r="J37" s="33">
        <v>140000</v>
      </c>
      <c r="K37" s="624">
        <f t="shared" ref="K37:K38" si="4">J37*I37</f>
        <v>31276000</v>
      </c>
    </row>
    <row r="38" spans="2:11" ht="15.75">
      <c r="B38" s="631">
        <f>B37+1</f>
        <v>2</v>
      </c>
      <c r="C38" s="632" t="s">
        <v>539</v>
      </c>
      <c r="D38" s="632"/>
      <c r="E38" s="632"/>
      <c r="F38" s="632"/>
      <c r="G38" s="632"/>
      <c r="H38" s="27" t="s">
        <v>14</v>
      </c>
      <c r="I38" s="28">
        <f>[86]Angardu!$J$62</f>
        <v>9</v>
      </c>
      <c r="J38" s="33">
        <f>J37</f>
        <v>140000</v>
      </c>
      <c r="K38" s="624">
        <f t="shared" si="4"/>
        <v>1260000</v>
      </c>
    </row>
    <row r="39" spans="2:11" ht="15.75">
      <c r="B39" s="631"/>
      <c r="C39" s="632"/>
      <c r="D39" s="632"/>
      <c r="E39" s="632"/>
      <c r="F39" s="632"/>
      <c r="G39" s="632"/>
      <c r="H39" s="27"/>
      <c r="I39" s="28"/>
      <c r="J39" s="630" t="s">
        <v>365</v>
      </c>
      <c r="K39" s="625">
        <f>SUM(K37:K38)</f>
        <v>32536000</v>
      </c>
    </row>
    <row r="40" spans="2:11" ht="15.75">
      <c r="B40" s="14" t="s">
        <v>25</v>
      </c>
      <c r="C40" s="626" t="s">
        <v>540</v>
      </c>
      <c r="D40" s="632"/>
      <c r="E40" s="632"/>
      <c r="F40" s="632"/>
      <c r="G40" s="632"/>
      <c r="H40" s="27"/>
      <c r="I40" s="28"/>
      <c r="J40" s="33"/>
      <c r="K40" s="624"/>
    </row>
    <row r="41" spans="2:11" ht="15.75">
      <c r="B41" s="14"/>
      <c r="C41" s="628" t="s">
        <v>541</v>
      </c>
      <c r="D41" s="632"/>
      <c r="E41" s="632"/>
      <c r="F41" s="632"/>
      <c r="G41" s="632"/>
      <c r="H41" s="27"/>
      <c r="I41" s="28"/>
      <c r="J41" s="33"/>
      <c r="K41" s="624"/>
    </row>
    <row r="42" spans="2:11" ht="15.75">
      <c r="B42" s="631">
        <v>1</v>
      </c>
      <c r="C42" s="632" t="s">
        <v>542</v>
      </c>
      <c r="D42" s="632"/>
      <c r="E42" s="632"/>
      <c r="F42" s="632"/>
      <c r="G42" s="632"/>
      <c r="H42" s="27" t="s">
        <v>14</v>
      </c>
      <c r="I42" s="28">
        <f>[86]Angardu!$J$65</f>
        <v>223.4</v>
      </c>
      <c r="J42" s="33">
        <v>45000</v>
      </c>
      <c r="K42" s="624">
        <f t="shared" ref="K42:K44" si="5">J42*I42</f>
        <v>10053000</v>
      </c>
    </row>
    <row r="43" spans="2:11" ht="15.75">
      <c r="B43" s="631">
        <f>B42+1</f>
        <v>2</v>
      </c>
      <c r="C43" s="632" t="s">
        <v>543</v>
      </c>
      <c r="D43" s="632"/>
      <c r="E43" s="632"/>
      <c r="F43" s="632"/>
      <c r="G43" s="632"/>
      <c r="H43" s="27" t="s">
        <v>14</v>
      </c>
      <c r="I43" s="28">
        <f>[86]Angardu!$J$66</f>
        <v>9</v>
      </c>
      <c r="J43" s="33">
        <f>J42</f>
        <v>45000</v>
      </c>
      <c r="K43" s="624">
        <f t="shared" si="5"/>
        <v>405000</v>
      </c>
    </row>
    <row r="44" spans="2:11" ht="15.75">
      <c r="B44" s="631">
        <f>B43+1</f>
        <v>3</v>
      </c>
      <c r="C44" s="632" t="s">
        <v>544</v>
      </c>
      <c r="D44" s="632"/>
      <c r="E44" s="632"/>
      <c r="F44" s="632"/>
      <c r="G44" s="632"/>
      <c r="H44" s="27" t="s">
        <v>14</v>
      </c>
      <c r="I44" s="28">
        <f>[86]Angardu!$J$67</f>
        <v>80</v>
      </c>
      <c r="J44" s="33">
        <v>650000</v>
      </c>
      <c r="K44" s="624">
        <f t="shared" si="5"/>
        <v>52000000</v>
      </c>
    </row>
    <row r="45" spans="2:11" ht="15.75">
      <c r="B45" s="631"/>
      <c r="C45" s="632"/>
      <c r="D45" s="632"/>
      <c r="E45" s="632"/>
      <c r="F45" s="632"/>
      <c r="G45" s="632"/>
      <c r="H45" s="27"/>
      <c r="I45" s="28"/>
      <c r="J45" s="630" t="s">
        <v>368</v>
      </c>
      <c r="K45" s="625">
        <f>SUM(K42:K44)</f>
        <v>62458000</v>
      </c>
    </row>
    <row r="46" spans="2:11" ht="15.75">
      <c r="B46" s="14" t="s">
        <v>27</v>
      </c>
      <c r="C46" s="626" t="s">
        <v>545</v>
      </c>
      <c r="D46" s="632"/>
      <c r="E46" s="632"/>
      <c r="F46" s="632"/>
      <c r="G46" s="632"/>
      <c r="H46" s="27"/>
      <c r="I46" s="28"/>
      <c r="J46" s="33"/>
      <c r="K46" s="624"/>
    </row>
    <row r="47" spans="2:11" ht="15.75">
      <c r="B47" s="631">
        <v>1</v>
      </c>
      <c r="C47" s="632" t="s">
        <v>546</v>
      </c>
      <c r="D47" s="632"/>
      <c r="E47" s="632"/>
      <c r="F47" s="632"/>
      <c r="G47" s="632"/>
      <c r="H47" s="27" t="s">
        <v>32</v>
      </c>
      <c r="I47" s="28">
        <f>[86]Angardu!$J$70</f>
        <v>1</v>
      </c>
      <c r="J47" s="33">
        <v>7500000</v>
      </c>
      <c r="K47" s="624">
        <f t="shared" ref="K47:K49" si="6">J47*I47</f>
        <v>7500000</v>
      </c>
    </row>
    <row r="48" spans="2:11" ht="15.75">
      <c r="B48" s="631">
        <f>B47+1</f>
        <v>2</v>
      </c>
      <c r="C48" s="632" t="s">
        <v>547</v>
      </c>
      <c r="D48" s="632"/>
      <c r="E48" s="632"/>
      <c r="F48" s="632"/>
      <c r="G48" s="632"/>
      <c r="H48" s="27" t="s">
        <v>32</v>
      </c>
      <c r="I48" s="28">
        <f>[86]Angardu!$J$71</f>
        <v>1</v>
      </c>
      <c r="J48" s="33">
        <v>1750000</v>
      </c>
      <c r="K48" s="624">
        <f t="shared" si="6"/>
        <v>1750000</v>
      </c>
    </row>
    <row r="49" spans="2:13" ht="15.75">
      <c r="B49" s="631">
        <f>B48+1</f>
        <v>3</v>
      </c>
      <c r="C49" s="632" t="s">
        <v>548</v>
      </c>
      <c r="D49" s="632"/>
      <c r="E49" s="632"/>
      <c r="F49" s="632"/>
      <c r="G49" s="632"/>
      <c r="H49" s="27" t="s">
        <v>32</v>
      </c>
      <c r="I49" s="28">
        <f>[86]Angardu!$J$72</f>
        <v>1</v>
      </c>
      <c r="J49" s="33">
        <v>2200000</v>
      </c>
      <c r="K49" s="624">
        <f t="shared" si="6"/>
        <v>2200000</v>
      </c>
    </row>
    <row r="50" spans="2:13" ht="15.75">
      <c r="B50" s="631"/>
      <c r="C50" s="632"/>
      <c r="D50" s="632"/>
      <c r="E50" s="632"/>
      <c r="F50" s="632"/>
      <c r="G50" s="632"/>
      <c r="H50" s="27"/>
      <c r="I50" s="28"/>
      <c r="J50" s="630" t="s">
        <v>371</v>
      </c>
      <c r="K50" s="625">
        <f>SUM(K47:K49)</f>
        <v>11450000</v>
      </c>
    </row>
    <row r="51" spans="2:13" ht="15.75">
      <c r="B51" s="14" t="s">
        <v>28</v>
      </c>
      <c r="C51" s="626" t="s">
        <v>38</v>
      </c>
      <c r="D51" s="632"/>
      <c r="E51" s="632"/>
      <c r="F51" s="632"/>
      <c r="G51" s="632"/>
      <c r="H51" s="27"/>
      <c r="I51" s="28"/>
      <c r="J51" s="33"/>
      <c r="K51" s="624"/>
    </row>
    <row r="52" spans="2:13" ht="15.75">
      <c r="B52" s="631">
        <v>1</v>
      </c>
      <c r="C52" s="632" t="s">
        <v>549</v>
      </c>
      <c r="D52" s="632"/>
      <c r="E52" s="632"/>
      <c r="F52" s="632"/>
      <c r="G52" s="632"/>
      <c r="H52" s="27" t="s">
        <v>32</v>
      </c>
      <c r="I52" s="28">
        <v>4</v>
      </c>
      <c r="J52" s="33">
        <v>300000</v>
      </c>
      <c r="K52" s="624">
        <f t="shared" ref="K52" si="7">J52*I52</f>
        <v>1200000</v>
      </c>
    </row>
    <row r="53" spans="2:13" ht="15.75">
      <c r="B53" s="631"/>
      <c r="C53" s="632"/>
      <c r="D53" s="632"/>
      <c r="E53" s="632"/>
      <c r="F53" s="632"/>
      <c r="G53" s="632"/>
      <c r="H53" s="27"/>
      <c r="I53" s="28"/>
      <c r="J53" s="630" t="s">
        <v>377</v>
      </c>
      <c r="K53" s="625">
        <f>SUM(K52)</f>
        <v>1200000</v>
      </c>
    </row>
    <row r="54" spans="2:13" ht="15.75">
      <c r="B54" s="14" t="s">
        <v>30</v>
      </c>
      <c r="C54" s="626" t="s">
        <v>39</v>
      </c>
      <c r="D54" s="632"/>
      <c r="E54" s="632"/>
      <c r="F54" s="632"/>
      <c r="G54" s="632"/>
      <c r="H54" s="27"/>
      <c r="I54" s="28"/>
      <c r="J54" s="33"/>
      <c r="K54" s="624"/>
    </row>
    <row r="55" spans="2:13" ht="15.75">
      <c r="B55" s="627">
        <v>1</v>
      </c>
      <c r="C55" s="632" t="s">
        <v>550</v>
      </c>
      <c r="D55" s="632"/>
      <c r="E55" s="632"/>
      <c r="F55" s="632"/>
      <c r="G55" s="632"/>
      <c r="H55" s="27" t="s">
        <v>32</v>
      </c>
      <c r="I55" s="28">
        <v>6</v>
      </c>
      <c r="J55" s="33">
        <v>280000</v>
      </c>
      <c r="K55" s="624">
        <f t="shared" ref="K55:K59" si="8">J55*I55</f>
        <v>1680000</v>
      </c>
    </row>
    <row r="56" spans="2:13" ht="15.75">
      <c r="B56" s="627">
        <f>B55+1</f>
        <v>2</v>
      </c>
      <c r="C56" s="632" t="s">
        <v>551</v>
      </c>
      <c r="D56" s="632"/>
      <c r="E56" s="632"/>
      <c r="F56" s="632"/>
      <c r="G56" s="632"/>
      <c r="H56" s="27" t="s">
        <v>32</v>
      </c>
      <c r="I56" s="28">
        <v>2</v>
      </c>
      <c r="J56" s="33">
        <v>280000</v>
      </c>
      <c r="K56" s="624">
        <f t="shared" si="8"/>
        <v>560000</v>
      </c>
    </row>
    <row r="57" spans="2:13" ht="15.75">
      <c r="B57" s="627">
        <f t="shared" ref="B57:B59" si="9">B56+1</f>
        <v>3</v>
      </c>
      <c r="C57" s="632" t="s">
        <v>552</v>
      </c>
      <c r="D57" s="632"/>
      <c r="E57" s="632"/>
      <c r="F57" s="632"/>
      <c r="G57" s="632"/>
      <c r="H57" s="27" t="s">
        <v>32</v>
      </c>
      <c r="I57" s="28">
        <f>I55</f>
        <v>6</v>
      </c>
      <c r="J57" s="33">
        <v>90000</v>
      </c>
      <c r="K57" s="624">
        <f t="shared" si="8"/>
        <v>540000</v>
      </c>
    </row>
    <row r="58" spans="2:13" ht="15.75">
      <c r="B58" s="627">
        <f t="shared" si="9"/>
        <v>4</v>
      </c>
      <c r="C58" s="632" t="s">
        <v>402</v>
      </c>
      <c r="D58" s="632"/>
      <c r="E58" s="632"/>
      <c r="F58" s="632"/>
      <c r="G58" s="632"/>
      <c r="H58" s="27" t="s">
        <v>32</v>
      </c>
      <c r="I58" s="28">
        <v>2</v>
      </c>
      <c r="J58" s="33">
        <v>50000</v>
      </c>
      <c r="K58" s="624">
        <f t="shared" si="8"/>
        <v>100000</v>
      </c>
    </row>
    <row r="59" spans="2:13" ht="15.75">
      <c r="B59" s="627">
        <f t="shared" si="9"/>
        <v>5</v>
      </c>
      <c r="C59" s="632" t="s">
        <v>401</v>
      </c>
      <c r="D59" s="632"/>
      <c r="E59" s="632"/>
      <c r="F59" s="632"/>
      <c r="G59" s="632"/>
      <c r="H59" s="27" t="s">
        <v>32</v>
      </c>
      <c r="I59" s="28">
        <v>4</v>
      </c>
      <c r="J59" s="33">
        <v>50000</v>
      </c>
      <c r="K59" s="624">
        <f t="shared" si="8"/>
        <v>200000</v>
      </c>
    </row>
    <row r="60" spans="2:13" ht="15.75">
      <c r="B60" s="631"/>
      <c r="C60" s="632"/>
      <c r="D60" s="632"/>
      <c r="E60" s="632"/>
      <c r="F60" s="632"/>
      <c r="G60" s="632"/>
      <c r="H60" s="27"/>
      <c r="I60" s="28"/>
      <c r="J60" s="630" t="s">
        <v>383</v>
      </c>
      <c r="K60" s="625">
        <f>SUM(K55:K59)</f>
        <v>3080000</v>
      </c>
    </row>
    <row r="61" spans="2:13" ht="16.5" thickBot="1">
      <c r="B61" s="633"/>
      <c r="C61" s="634"/>
      <c r="D61" s="634"/>
      <c r="E61" s="634"/>
      <c r="F61" s="634"/>
      <c r="G61" s="634"/>
      <c r="H61" s="635"/>
      <c r="I61" s="636"/>
      <c r="J61" s="637"/>
      <c r="K61" s="638"/>
    </row>
    <row r="62" spans="2:13" ht="17.25" thickTop="1" thickBot="1">
      <c r="B62" s="639"/>
      <c r="C62" s="640"/>
      <c r="D62" s="640"/>
      <c r="E62" s="640"/>
      <c r="F62" s="640"/>
      <c r="G62" s="640"/>
      <c r="H62" s="640"/>
      <c r="I62" s="640"/>
      <c r="J62" s="641" t="s">
        <v>41</v>
      </c>
      <c r="K62" s="642">
        <f>SUM(K11:K61)/2</f>
        <v>305923750</v>
      </c>
    </row>
    <row r="63" spans="2:13" s="643" customFormat="1" ht="15.75" thickTop="1">
      <c r="B63"/>
      <c r="C63"/>
      <c r="D63"/>
      <c r="E63"/>
      <c r="F63"/>
      <c r="G63"/>
      <c r="H63"/>
      <c r="I63"/>
      <c r="J63"/>
      <c r="L63"/>
      <c r="M63"/>
    </row>
    <row r="69" spans="2:13" s="643" customFormat="1">
      <c r="B69"/>
      <c r="C69"/>
      <c r="D69"/>
      <c r="E69"/>
      <c r="F69"/>
      <c r="G69"/>
      <c r="H69"/>
      <c r="I69"/>
      <c r="J69" s="644"/>
      <c r="L69"/>
      <c r="M69"/>
    </row>
  </sheetData>
  <mergeCells count="1">
    <mergeCell ref="I7:K7"/>
  </mergeCells>
  <pageMargins left="0.7" right="0.7" top="0.75" bottom="0.75" header="0.3" footer="0.3"/>
  <pageSetup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D7C8E2-E4D6-4DA8-8A5D-DF41BF5A434B}">
  <sheetPr>
    <tabColor rgb="FFFFFF00"/>
    <pageSetUpPr fitToPage="1"/>
  </sheetPr>
  <dimension ref="A2:L34"/>
  <sheetViews>
    <sheetView topLeftCell="A9" workbookViewId="0">
      <selection activeCell="H27" sqref="H27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610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611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Resto 300 m2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tr">
        <f>BQResto300!B13</f>
        <v>PEKERJAAN PERSIAPAN &amp; PENYELESAIAN</v>
      </c>
      <c r="D14" s="58"/>
      <c r="E14" s="58"/>
      <c r="F14" s="58"/>
      <c r="G14" s="58"/>
      <c r="H14" s="483">
        <f>BQResto300!J20</f>
        <v>5000000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tr">
        <f>BQResto300!B21</f>
        <v>MATERIAL TAMBAHAN</v>
      </c>
      <c r="D15" s="58"/>
      <c r="E15" s="58"/>
      <c r="F15" s="58"/>
      <c r="G15" s="58"/>
      <c r="H15" s="483">
        <f>BQResto300!J26</f>
        <v>44000000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tr">
        <f>BQResto300!B27</f>
        <v>PEKERJAAN  LAN</v>
      </c>
      <c r="D16" s="58"/>
      <c r="E16" s="58"/>
      <c r="F16" s="58"/>
      <c r="G16" s="58"/>
      <c r="H16" s="483">
        <f>BQResto300!J37</f>
        <v>54500000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tr">
        <f>BQResto300!B38</f>
        <v>-</v>
      </c>
      <c r="D17" s="58"/>
      <c r="E17" s="58"/>
      <c r="F17" s="58"/>
      <c r="G17" s="58"/>
      <c r="H17" s="483">
        <f>BQResto300!J41</f>
        <v>0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tr">
        <f>BQResto300!B42</f>
        <v>-</v>
      </c>
      <c r="D18" s="58"/>
      <c r="E18" s="58"/>
      <c r="F18" s="58"/>
      <c r="G18" s="58"/>
      <c r="H18" s="483">
        <f>BQResto300!J46</f>
        <v>0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tr">
        <f>BQResto300!B47</f>
        <v>PEKERJAAN CCTV</v>
      </c>
      <c r="D19" s="58"/>
      <c r="E19" s="58"/>
      <c r="F19" s="58"/>
      <c r="G19" s="58"/>
      <c r="H19" s="483">
        <f>BQResto300!J67</f>
        <v>78500000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tr">
        <f>BQResto300!B69</f>
        <v>-</v>
      </c>
      <c r="D20" s="58"/>
      <c r="E20" s="58"/>
      <c r="F20" s="58"/>
      <c r="G20" s="58"/>
      <c r="H20" s="483">
        <f>BQResto300!J73</f>
        <v>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tr">
        <f>BQResto300!B75</f>
        <v>PEKERJAAN WIFI</v>
      </c>
      <c r="D21" s="58"/>
      <c r="E21" s="58"/>
      <c r="F21" s="58"/>
      <c r="G21" s="58"/>
      <c r="H21" s="483">
        <f>BQResto300!J85</f>
        <v>27000000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tr">
        <f>BQResto300!B86</f>
        <v>PEKERJAAN PABX</v>
      </c>
      <c r="D22" s="58"/>
      <c r="E22" s="58"/>
      <c r="F22" s="58"/>
      <c r="G22" s="58"/>
      <c r="H22" s="483">
        <f>BQResto300!J102</f>
        <v>21500000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tr">
        <f>BQResto300!B103</f>
        <v>-</v>
      </c>
      <c r="D23" s="58"/>
      <c r="E23" s="58"/>
      <c r="F23" s="58"/>
      <c r="G23" s="58"/>
      <c r="H23" s="483">
        <f>BQResto300!J107</f>
        <v>0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tr">
        <f>BQResto300!B108</f>
        <v>-</v>
      </c>
      <c r="D24" s="58"/>
      <c r="E24" s="58"/>
      <c r="F24" s="58"/>
      <c r="G24" s="58"/>
      <c r="H24" s="483">
        <f>BQResto300!J114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tr">
        <f>BQResto300!B115</f>
        <v>-</v>
      </c>
      <c r="D25" s="58"/>
      <c r="E25" s="58"/>
      <c r="F25" s="58"/>
      <c r="G25" s="58"/>
      <c r="H25" s="483">
        <f>BQResto300!J123</f>
        <v>0</v>
      </c>
      <c r="I25" s="39"/>
      <c r="J25" s="39"/>
      <c r="K25" s="39"/>
      <c r="L25" s="39"/>
    </row>
    <row r="26" spans="1:12" s="60" customFormat="1">
      <c r="A26" s="39"/>
      <c r="B26" s="55" t="s">
        <v>37</v>
      </c>
      <c r="C26" s="56" t="str">
        <f>BQResto300!B124</f>
        <v>-</v>
      </c>
      <c r="D26" s="58"/>
      <c r="E26" s="58"/>
      <c r="F26" s="58"/>
      <c r="G26" s="58"/>
      <c r="H26" s="483">
        <f>BQResto300!J129</f>
        <v>0</v>
      </c>
      <c r="I26" s="39"/>
      <c r="J26" s="39"/>
      <c r="K26" s="39"/>
      <c r="L26" s="39"/>
    </row>
    <row r="27" spans="1:12" ht="16.5" thickBot="1">
      <c r="B27" s="69"/>
      <c r="C27" s="70"/>
      <c r="D27" s="70"/>
      <c r="E27" s="70"/>
      <c r="F27" s="70"/>
      <c r="G27" s="70"/>
      <c r="H27" s="484"/>
    </row>
    <row r="28" spans="1:12" ht="17.25" thickTop="1" thickBot="1">
      <c r="B28" s="72"/>
      <c r="C28" s="73"/>
      <c r="D28" s="73"/>
      <c r="E28" s="73"/>
      <c r="F28" s="74" t="s">
        <v>41</v>
      </c>
      <c r="G28" s="74"/>
      <c r="H28" s="75">
        <f>SUM(H14:H27)</f>
        <v>230500000</v>
      </c>
    </row>
    <row r="29" spans="1:12" ht="16.5" thickTop="1">
      <c r="B29" s="76"/>
      <c r="C29" s="77"/>
      <c r="D29" s="77"/>
      <c r="E29" s="77"/>
      <c r="F29" s="77"/>
      <c r="G29" s="77"/>
      <c r="H29" s="78"/>
    </row>
    <row r="30" spans="1:12">
      <c r="B30" s="79"/>
      <c r="C30" s="56"/>
      <c r="D30" s="56"/>
      <c r="E30" s="58"/>
      <c r="F30" s="40" t="s">
        <v>5</v>
      </c>
      <c r="G30" s="43">
        <v>3</v>
      </c>
      <c r="H30" s="715">
        <f>G30*H28</f>
        <v>691500000</v>
      </c>
    </row>
    <row r="31" spans="1:12">
      <c r="B31" s="81"/>
      <c r="C31" s="41"/>
      <c r="E31" s="44"/>
      <c r="H31" s="82"/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2311D3-AC68-4DF9-B947-2C106F29FA6F}">
  <dimension ref="A1:T389"/>
  <sheetViews>
    <sheetView workbookViewId="0"/>
  </sheetViews>
  <sheetFormatPr defaultColWidth="9" defaultRowHeight="15"/>
  <cols>
    <col min="1" max="1" width="6.7109375" style="226" customWidth="1"/>
    <col min="2" max="2" width="10.5703125" style="223" customWidth="1"/>
    <col min="3" max="3" width="35.7109375" style="223" customWidth="1"/>
    <col min="4" max="4" width="9.85546875" style="223" customWidth="1"/>
    <col min="5" max="5" width="9" style="223"/>
    <col min="6" max="6" width="12.42578125" style="223" customWidth="1"/>
    <col min="7" max="7" width="14.42578125" style="223" customWidth="1"/>
    <col min="8" max="8" width="15.28515625" style="223" customWidth="1"/>
    <col min="9" max="9" width="12.5703125" style="223" customWidth="1"/>
    <col min="10" max="10" width="14.140625" style="223" customWidth="1"/>
    <col min="11" max="11" width="7.28515625" style="223" customWidth="1"/>
    <col min="12" max="12" width="13" style="223" customWidth="1"/>
    <col min="13" max="13" width="10.5703125" style="251" customWidth="1"/>
    <col min="14" max="14" width="9.42578125" style="226" customWidth="1"/>
    <col min="15" max="15" width="22.28515625" style="226" customWidth="1"/>
    <col min="16" max="16" width="13.85546875" style="226" customWidth="1"/>
    <col min="17" max="17" width="9" style="226" customWidth="1"/>
    <col min="18" max="18" width="16.140625" style="226" customWidth="1"/>
    <col min="19" max="19" width="14.28515625" style="226" customWidth="1"/>
    <col min="20" max="20" width="15.42578125" style="226" customWidth="1"/>
    <col min="21" max="16384" width="9" style="226"/>
  </cols>
  <sheetData>
    <row r="1" spans="1:9">
      <c r="A1" s="222" t="s">
        <v>188</v>
      </c>
    </row>
    <row r="2" spans="1:9">
      <c r="A2" s="222" t="s">
        <v>189</v>
      </c>
    </row>
    <row r="3" spans="1:9">
      <c r="A3" s="222"/>
    </row>
    <row r="4" spans="1:9">
      <c r="A4" s="224" t="s">
        <v>11</v>
      </c>
      <c r="B4" s="225" t="s">
        <v>190</v>
      </c>
    </row>
    <row r="5" spans="1:9">
      <c r="B5" s="223">
        <v>2</v>
      </c>
      <c r="C5" s="225">
        <v>12</v>
      </c>
      <c r="D5" s="223">
        <f>C5*B5</f>
        <v>24</v>
      </c>
    </row>
    <row r="6" spans="1:9">
      <c r="B6" s="223">
        <v>2</v>
      </c>
      <c r="C6" s="225">
        <v>20</v>
      </c>
      <c r="D6" s="223">
        <f>C6*B6</f>
        <v>40</v>
      </c>
    </row>
    <row r="7" spans="1:9">
      <c r="C7" s="225"/>
      <c r="E7" s="227">
        <f>SUM(D5:D6)</f>
        <v>64</v>
      </c>
    </row>
    <row r="8" spans="1:9" ht="17.25">
      <c r="A8" s="224" t="s">
        <v>12</v>
      </c>
      <c r="B8" s="228" t="s">
        <v>191</v>
      </c>
      <c r="C8" s="229"/>
    </row>
    <row r="10" spans="1:9">
      <c r="A10" s="226">
        <v>1</v>
      </c>
      <c r="B10" s="223" t="s">
        <v>192</v>
      </c>
    </row>
    <row r="11" spans="1:9">
      <c r="D11" s="230" t="s">
        <v>193</v>
      </c>
      <c r="E11" s="230" t="s">
        <v>194</v>
      </c>
      <c r="F11" s="230" t="s">
        <v>195</v>
      </c>
      <c r="G11" s="230"/>
      <c r="H11" s="230"/>
    </row>
    <row r="12" spans="1:9">
      <c r="B12" s="231" t="s">
        <v>196</v>
      </c>
      <c r="C12" s="232" t="s">
        <v>197</v>
      </c>
      <c r="D12" s="233">
        <v>20</v>
      </c>
      <c r="I12" s="223">
        <f>F12*E12*D12</f>
        <v>0</v>
      </c>
    </row>
    <row r="13" spans="1:9">
      <c r="B13" s="231"/>
      <c r="C13" s="232" t="s">
        <v>198</v>
      </c>
      <c r="D13" s="233">
        <v>2</v>
      </c>
      <c r="I13" s="223">
        <f>F13*E13*D13</f>
        <v>0</v>
      </c>
    </row>
    <row r="14" spans="1:9">
      <c r="B14" s="231"/>
      <c r="C14" s="232" t="s">
        <v>198</v>
      </c>
      <c r="D14" s="233">
        <v>4</v>
      </c>
      <c r="I14" s="223">
        <f>F14*E14*D14</f>
        <v>0</v>
      </c>
    </row>
    <row r="15" spans="1:9" ht="15.75">
      <c r="B15" s="231" t="s">
        <v>199</v>
      </c>
      <c r="C15" s="232" t="s">
        <v>200</v>
      </c>
      <c r="D15" s="223">
        <v>10</v>
      </c>
      <c r="G15" s="234"/>
      <c r="H15" s="235"/>
      <c r="I15" s="223">
        <f>F15*E15*D15</f>
        <v>0</v>
      </c>
    </row>
    <row r="16" spans="1:9">
      <c r="B16" s="231"/>
      <c r="C16" s="232" t="s">
        <v>201</v>
      </c>
      <c r="D16" s="223">
        <v>5</v>
      </c>
      <c r="I16" s="223">
        <f>F16*E16*D16</f>
        <v>0</v>
      </c>
    </row>
    <row r="17" spans="2:19" ht="15.75">
      <c r="B17" s="231" t="s">
        <v>202</v>
      </c>
      <c r="C17" s="232" t="s">
        <v>197</v>
      </c>
      <c r="D17" s="223">
        <v>20</v>
      </c>
      <c r="G17" s="223" t="s">
        <v>203</v>
      </c>
      <c r="H17" s="223">
        <f>F22*E22*D22</f>
        <v>0</v>
      </c>
      <c r="K17" s="236"/>
      <c r="L17" s="237"/>
      <c r="M17" s="238"/>
      <c r="N17" s="237"/>
      <c r="O17" s="237"/>
      <c r="P17" s="239"/>
      <c r="Q17" s="240"/>
    </row>
    <row r="18" spans="2:19" ht="15.75">
      <c r="B18" s="231"/>
      <c r="C18" s="241"/>
      <c r="D18" s="223">
        <v>5</v>
      </c>
      <c r="F18" s="223">
        <v>137.03</v>
      </c>
      <c r="G18" s="223">
        <v>2</v>
      </c>
      <c r="H18" s="223">
        <f>G18*F18</f>
        <v>274.06</v>
      </c>
      <c r="K18" s="242"/>
      <c r="L18" s="242"/>
      <c r="M18" s="243"/>
      <c r="N18" s="244"/>
      <c r="O18" s="242"/>
      <c r="P18" s="242"/>
      <c r="Q18" s="240"/>
    </row>
    <row r="19" spans="2:19" ht="15.75">
      <c r="B19" s="245">
        <v>1</v>
      </c>
      <c r="C19" s="232" t="s">
        <v>204</v>
      </c>
      <c r="D19" s="233">
        <v>9</v>
      </c>
      <c r="K19" s="246"/>
      <c r="L19" s="237"/>
      <c r="M19" s="247"/>
      <c r="N19" s="248"/>
      <c r="O19" s="249"/>
      <c r="P19" s="250"/>
      <c r="Q19" s="240"/>
    </row>
    <row r="20" spans="2:19" ht="15.75">
      <c r="B20" s="245"/>
      <c r="C20" s="232" t="s">
        <v>204</v>
      </c>
      <c r="D20" s="223">
        <v>9</v>
      </c>
      <c r="N20" s="252"/>
      <c r="O20" s="248"/>
      <c r="P20" s="253"/>
      <c r="Q20" s="240"/>
    </row>
    <row r="21" spans="2:19" ht="15.75">
      <c r="B21" s="245">
        <v>2</v>
      </c>
      <c r="C21" s="232" t="s">
        <v>204</v>
      </c>
      <c r="D21" s="223">
        <v>6.6</v>
      </c>
      <c r="N21" s="252"/>
      <c r="O21" s="248"/>
      <c r="P21" s="253"/>
      <c r="Q21" s="240"/>
    </row>
    <row r="22" spans="2:19" ht="15.75">
      <c r="B22" s="254">
        <v>3</v>
      </c>
      <c r="C22" s="232" t="s">
        <v>205</v>
      </c>
      <c r="D22" s="223">
        <v>1.54</v>
      </c>
      <c r="N22" s="252"/>
      <c r="O22" s="248"/>
      <c r="P22" s="253"/>
      <c r="Q22" s="240"/>
    </row>
    <row r="23" spans="2:19" ht="15.75">
      <c r="B23" s="254">
        <v>5</v>
      </c>
      <c r="C23" s="232" t="s">
        <v>206</v>
      </c>
      <c r="D23" s="223">
        <v>9</v>
      </c>
      <c r="N23" s="252"/>
      <c r="O23" s="248"/>
      <c r="P23" s="253"/>
      <c r="Q23" s="240"/>
    </row>
    <row r="24" spans="2:19" ht="15.75">
      <c r="B24" s="245"/>
      <c r="C24" s="232" t="s">
        <v>207</v>
      </c>
      <c r="E24" s="223">
        <f>SUM(D12:D23)</f>
        <v>101.14</v>
      </c>
      <c r="K24" s="246"/>
      <c r="L24" s="237"/>
      <c r="M24" s="247"/>
      <c r="N24" s="252"/>
      <c r="O24" s="248"/>
      <c r="P24" s="253"/>
      <c r="Q24" s="240"/>
    </row>
    <row r="25" spans="2:19" ht="15.75">
      <c r="B25" s="245"/>
      <c r="C25" s="255" t="s">
        <v>208</v>
      </c>
      <c r="F25" s="223">
        <v>0.7</v>
      </c>
      <c r="G25" s="223">
        <v>0.7</v>
      </c>
      <c r="H25" s="223">
        <f>G25*F25*E24</f>
        <v>49.558599999999991</v>
      </c>
      <c r="K25" s="246"/>
      <c r="L25" s="237"/>
      <c r="M25" s="247"/>
      <c r="N25" s="252"/>
      <c r="O25" s="248"/>
      <c r="P25" s="253"/>
      <c r="Q25" s="240"/>
    </row>
    <row r="26" spans="2:19" ht="15.75">
      <c r="B26" s="245"/>
      <c r="C26" s="255" t="s">
        <v>209</v>
      </c>
      <c r="E26" s="223">
        <v>2</v>
      </c>
      <c r="F26" s="223">
        <v>1.2</v>
      </c>
      <c r="G26" s="223">
        <v>1.2</v>
      </c>
      <c r="H26" s="223">
        <v>15</v>
      </c>
      <c r="I26" s="223">
        <f>H26*G26*G26*F26*E26</f>
        <v>51.839999999999996</v>
      </c>
      <c r="K26" s="246"/>
      <c r="L26" s="237"/>
      <c r="M26" s="247"/>
      <c r="N26" s="252"/>
      <c r="O26" s="248"/>
      <c r="P26" s="253"/>
      <c r="Q26" s="240"/>
    </row>
    <row r="27" spans="2:19" ht="15.75">
      <c r="B27" s="245"/>
      <c r="C27" s="256" t="s">
        <v>210</v>
      </c>
      <c r="E27" s="223">
        <f>E24</f>
        <v>101.14</v>
      </c>
      <c r="F27" s="223">
        <f>F25</f>
        <v>0.7</v>
      </c>
      <c r="G27" s="223">
        <v>0.05</v>
      </c>
      <c r="H27" s="223">
        <f>G27*F27*E27</f>
        <v>3.5398999999999998</v>
      </c>
      <c r="K27" s="246"/>
      <c r="L27" s="237"/>
      <c r="M27" s="247"/>
      <c r="N27" s="252"/>
      <c r="O27" s="248"/>
      <c r="P27" s="253"/>
      <c r="Q27" s="240"/>
    </row>
    <row r="28" spans="2:19" ht="15.75">
      <c r="B28" s="245"/>
      <c r="C28" s="256" t="s">
        <v>211</v>
      </c>
      <c r="E28" s="223">
        <f>E24</f>
        <v>101.14</v>
      </c>
      <c r="F28" s="223">
        <f>F25</f>
        <v>0.7</v>
      </c>
      <c r="G28" s="223">
        <v>0.4</v>
      </c>
      <c r="H28" s="223">
        <f>G28*F28*E28</f>
        <v>28.319199999999999</v>
      </c>
      <c r="K28" s="246"/>
      <c r="L28" s="237"/>
      <c r="M28" s="247"/>
      <c r="N28" s="252"/>
      <c r="O28" s="248"/>
      <c r="P28" s="253"/>
      <c r="Q28" s="240"/>
    </row>
    <row r="29" spans="2:19" ht="15.75">
      <c r="B29" s="245"/>
      <c r="C29" s="232" t="s">
        <v>212</v>
      </c>
      <c r="E29" s="223">
        <v>0.3</v>
      </c>
      <c r="F29" s="223">
        <v>1.2</v>
      </c>
      <c r="G29" s="223">
        <v>1.2</v>
      </c>
      <c r="H29" s="223">
        <v>15</v>
      </c>
      <c r="I29" s="223">
        <f>H29*G29*G29*F29*E29</f>
        <v>7.7759999999999989</v>
      </c>
      <c r="K29" s="246"/>
      <c r="L29" s="237"/>
      <c r="M29" s="247"/>
      <c r="N29" s="252"/>
      <c r="O29" s="248"/>
      <c r="P29" s="253"/>
      <c r="Q29" s="240"/>
    </row>
    <row r="30" spans="2:19" ht="15.75">
      <c r="B30" s="245"/>
      <c r="C30" s="232" t="s">
        <v>213</v>
      </c>
      <c r="E30" s="223">
        <v>0.05</v>
      </c>
      <c r="F30" s="223">
        <f>F29</f>
        <v>1.2</v>
      </c>
      <c r="G30" s="223">
        <f>G29</f>
        <v>1.2</v>
      </c>
      <c r="H30" s="223">
        <f>H29</f>
        <v>15</v>
      </c>
      <c r="I30" s="223">
        <f>H30*G30*G30*F30*E30</f>
        <v>1.296</v>
      </c>
      <c r="K30" s="246"/>
      <c r="L30" s="237"/>
      <c r="M30" s="247"/>
      <c r="N30" s="252"/>
      <c r="O30" s="248"/>
      <c r="P30" s="253"/>
      <c r="Q30" s="240"/>
    </row>
    <row r="31" spans="2:19" ht="15.75">
      <c r="B31" s="245"/>
      <c r="C31" s="232"/>
      <c r="K31" s="246"/>
      <c r="L31" s="237"/>
      <c r="M31" s="247"/>
      <c r="N31" s="252"/>
      <c r="O31" s="248"/>
      <c r="P31" s="253"/>
      <c r="Q31" s="240"/>
    </row>
    <row r="32" spans="2:19" ht="20.25">
      <c r="B32" s="245"/>
      <c r="C32" s="257" t="s">
        <v>214</v>
      </c>
      <c r="D32" s="258">
        <f>1.2*1.2*0.3</f>
        <v>0.432</v>
      </c>
      <c r="E32" s="259" t="s">
        <v>215</v>
      </c>
      <c r="F32" s="260"/>
      <c r="G32" s="261"/>
      <c r="H32" s="262"/>
      <c r="K32" s="246"/>
      <c r="L32" s="237"/>
      <c r="M32" s="247"/>
      <c r="N32" s="252"/>
      <c r="O32" s="263"/>
      <c r="P32" s="264" t="s">
        <v>216</v>
      </c>
      <c r="Q32" s="265" t="s">
        <v>217</v>
      </c>
      <c r="R32" s="236" t="s">
        <v>218</v>
      </c>
      <c r="S32" s="236"/>
    </row>
    <row r="33" spans="2:19" ht="18">
      <c r="B33" s="245"/>
      <c r="C33" s="266" t="s">
        <v>219</v>
      </c>
      <c r="D33" s="267">
        <f>D32*6</f>
        <v>2.5920000000000001</v>
      </c>
      <c r="E33" s="268" t="s">
        <v>220</v>
      </c>
      <c r="F33" s="269">
        <v>55000</v>
      </c>
      <c r="G33" s="269">
        <f>D33*F33</f>
        <v>142560</v>
      </c>
      <c r="H33" s="262"/>
      <c r="K33" s="246"/>
      <c r="L33" s="237"/>
      <c r="M33" s="247"/>
      <c r="N33" s="252"/>
      <c r="O33" s="270" t="s">
        <v>221</v>
      </c>
      <c r="P33" s="264">
        <v>310000</v>
      </c>
      <c r="Q33" s="265">
        <v>13.6</v>
      </c>
      <c r="R33" s="236">
        <f>Q33*P33</f>
        <v>4216000</v>
      </c>
      <c r="S33" s="237"/>
    </row>
    <row r="34" spans="2:19" ht="26.25" customHeight="1">
      <c r="B34" s="271"/>
      <c r="C34" s="266" t="s">
        <v>222</v>
      </c>
      <c r="D34" s="267">
        <f>D32*0.52</f>
        <v>0.22464000000000001</v>
      </c>
      <c r="E34" s="268" t="s">
        <v>215</v>
      </c>
      <c r="F34" s="269">
        <v>380000</v>
      </c>
      <c r="G34" s="269">
        <f>D34*F34</f>
        <v>85363.199999999997</v>
      </c>
      <c r="H34" s="262"/>
      <c r="K34" s="272"/>
      <c r="L34" s="273"/>
      <c r="M34" s="247"/>
      <c r="N34" s="239"/>
      <c r="O34" s="251" t="s">
        <v>223</v>
      </c>
      <c r="P34" s="264">
        <v>50000</v>
      </c>
      <c r="Q34" s="265">
        <f>Q33</f>
        <v>13.6</v>
      </c>
      <c r="R34" s="236">
        <f>Q34*P34</f>
        <v>680000</v>
      </c>
      <c r="S34" s="242"/>
    </row>
    <row r="35" spans="2:19" ht="17.25" customHeight="1">
      <c r="B35" s="271"/>
      <c r="C35" s="266" t="s">
        <v>224</v>
      </c>
      <c r="D35" s="267">
        <f>D32*0.82</f>
        <v>0.35424</v>
      </c>
      <c r="E35" s="268" t="s">
        <v>215</v>
      </c>
      <c r="F35" s="269">
        <v>280000</v>
      </c>
      <c r="G35" s="269">
        <f>D35*F35</f>
        <v>99187.199999999997</v>
      </c>
      <c r="H35" s="262"/>
      <c r="K35" s="272"/>
      <c r="L35" s="273"/>
      <c r="M35" s="247"/>
      <c r="N35" s="239"/>
      <c r="O35" s="274" t="s">
        <v>225</v>
      </c>
      <c r="P35" s="274"/>
      <c r="Q35" s="265"/>
      <c r="R35" s="246"/>
      <c r="S35" s="275">
        <f>SUM(R33:R34)</f>
        <v>4896000</v>
      </c>
    </row>
    <row r="36" spans="2:19" ht="16.5" customHeight="1">
      <c r="B36" s="271"/>
      <c r="C36" s="266" t="s">
        <v>226</v>
      </c>
      <c r="D36" s="267">
        <v>3</v>
      </c>
      <c r="E36" s="268" t="s">
        <v>20</v>
      </c>
      <c r="F36" s="276">
        <v>100000</v>
      </c>
      <c r="G36" s="269">
        <f>F36*D36</f>
        <v>300000</v>
      </c>
      <c r="H36" s="262"/>
      <c r="K36" s="272"/>
      <c r="L36" s="273"/>
      <c r="M36" s="247"/>
      <c r="N36" s="239"/>
      <c r="O36" s="249"/>
      <c r="P36" s="277"/>
      <c r="Q36" s="240"/>
    </row>
    <row r="37" spans="2:19" ht="15.75" customHeight="1">
      <c r="B37" s="271"/>
      <c r="C37" s="266" t="s">
        <v>227</v>
      </c>
      <c r="D37" s="267">
        <f>D38/50</f>
        <v>0.75</v>
      </c>
      <c r="E37" s="268" t="s">
        <v>17</v>
      </c>
      <c r="F37" s="269">
        <v>20000</v>
      </c>
      <c r="G37" s="269">
        <f>F37*D37</f>
        <v>15000</v>
      </c>
      <c r="H37" s="262"/>
      <c r="K37" s="272"/>
      <c r="L37" s="273"/>
      <c r="M37" s="247"/>
      <c r="N37" s="239"/>
      <c r="O37" s="249"/>
      <c r="P37" s="277"/>
      <c r="Q37" s="240"/>
    </row>
    <row r="38" spans="2:19" ht="15.75" customHeight="1">
      <c r="B38" s="271"/>
      <c r="C38" s="266" t="s">
        <v>228</v>
      </c>
      <c r="D38" s="267">
        <f>D36*12.5</f>
        <v>37.5</v>
      </c>
      <c r="E38" s="268" t="s">
        <v>17</v>
      </c>
      <c r="F38" s="269">
        <v>3000</v>
      </c>
      <c r="G38" s="269">
        <f>D38*F38</f>
        <v>112500</v>
      </c>
      <c r="H38" s="262"/>
      <c r="K38" s="272"/>
      <c r="L38" s="273"/>
      <c r="M38" s="247"/>
      <c r="N38" s="239"/>
      <c r="O38" s="249"/>
      <c r="P38" s="277"/>
      <c r="Q38" s="240"/>
      <c r="S38" s="278">
        <f>S35/Q34</f>
        <v>360000</v>
      </c>
    </row>
    <row r="39" spans="2:19" ht="15" customHeight="1">
      <c r="B39" s="271"/>
      <c r="C39" s="279" t="s">
        <v>229</v>
      </c>
      <c r="D39" s="280">
        <f>D32</f>
        <v>0.432</v>
      </c>
      <c r="E39" s="281" t="s">
        <v>215</v>
      </c>
      <c r="F39" s="282">
        <v>300000</v>
      </c>
      <c r="G39" s="282">
        <f>D39*F39</f>
        <v>129600</v>
      </c>
      <c r="H39" s="262"/>
      <c r="K39" s="272"/>
      <c r="L39" s="273"/>
      <c r="M39" s="247"/>
      <c r="N39" s="239"/>
      <c r="O39" s="249"/>
      <c r="P39" s="277"/>
      <c r="Q39" s="240"/>
    </row>
    <row r="40" spans="2:19" ht="21" customHeight="1">
      <c r="B40" s="271"/>
      <c r="C40" s="1147" t="s">
        <v>230</v>
      </c>
      <c r="D40" s="1147"/>
      <c r="E40" s="1147"/>
      <c r="F40" s="1147"/>
      <c r="G40" s="283">
        <f>SUM(G33:G39)</f>
        <v>884210.4</v>
      </c>
      <c r="H40" s="284">
        <f>ROUNDUP(G40/D32,-3)</f>
        <v>2047000</v>
      </c>
      <c r="K40" s="272"/>
      <c r="L40" s="273"/>
      <c r="M40" s="247"/>
      <c r="N40" s="239"/>
    </row>
    <row r="41" spans="2:19" ht="21.75" customHeight="1">
      <c r="B41" s="271"/>
      <c r="C41" s="237"/>
      <c r="D41" s="265"/>
      <c r="H41" s="223">
        <f>ROUNDUP(G40/D32,-3)</f>
        <v>2047000</v>
      </c>
      <c r="K41" s="272"/>
      <c r="L41" s="273"/>
      <c r="M41" s="285"/>
      <c r="N41" s="239"/>
    </row>
    <row r="42" spans="2:19" ht="19.5" customHeight="1">
      <c r="B42" s="271"/>
      <c r="C42" s="237" t="s">
        <v>231</v>
      </c>
      <c r="D42" s="265">
        <f>E24</f>
        <v>101.14</v>
      </c>
      <c r="E42" s="223">
        <v>0.15</v>
      </c>
      <c r="F42" s="223">
        <v>0.3</v>
      </c>
      <c r="G42" s="223">
        <f>F42*E42*D42</f>
        <v>4.5512999999999995</v>
      </c>
      <c r="K42" s="272"/>
      <c r="L42" s="273"/>
      <c r="M42" s="286"/>
      <c r="N42" s="239"/>
    </row>
    <row r="43" spans="2:19" ht="16.5" customHeight="1">
      <c r="B43" s="287" t="s">
        <v>232</v>
      </c>
      <c r="C43" s="257" t="s">
        <v>233</v>
      </c>
      <c r="D43" s="258">
        <f>1*0.15*0.25</f>
        <v>3.7499999999999999E-2</v>
      </c>
      <c r="E43" s="259" t="s">
        <v>215</v>
      </c>
      <c r="F43" s="260"/>
      <c r="G43" s="261"/>
      <c r="H43" s="284"/>
      <c r="J43" s="265"/>
      <c r="K43" s="236"/>
      <c r="L43" s="236"/>
      <c r="M43" s="288"/>
      <c r="N43" s="289"/>
    </row>
    <row r="44" spans="2:19" ht="15.75">
      <c r="B44" s="287"/>
      <c r="C44" s="266" t="s">
        <v>234</v>
      </c>
      <c r="D44" s="267"/>
      <c r="E44" s="268"/>
      <c r="F44" s="269"/>
      <c r="G44" s="269"/>
      <c r="H44" s="284"/>
      <c r="I44" s="223" t="s">
        <v>235</v>
      </c>
      <c r="J44" s="265"/>
      <c r="K44" s="236"/>
      <c r="L44" s="236"/>
      <c r="M44" s="288"/>
      <c r="N44" s="289"/>
    </row>
    <row r="45" spans="2:19" ht="15.75">
      <c r="B45" s="287"/>
      <c r="C45" s="266" t="s">
        <v>219</v>
      </c>
      <c r="D45" s="267">
        <f>D43*6</f>
        <v>0.22499999999999998</v>
      </c>
      <c r="E45" s="268" t="s">
        <v>220</v>
      </c>
      <c r="F45" s="269">
        <v>55000</v>
      </c>
      <c r="G45" s="269">
        <f t="shared" ref="G45:G56" si="0">F45*D45</f>
        <v>12374.999999999998</v>
      </c>
      <c r="H45" s="284"/>
      <c r="I45" s="223" t="s">
        <v>236</v>
      </c>
      <c r="J45" s="265">
        <v>84</v>
      </c>
      <c r="K45" s="237">
        <v>9900</v>
      </c>
      <c r="L45" s="237">
        <f>K45*J45</f>
        <v>831600</v>
      </c>
      <c r="M45" s="290"/>
      <c r="N45" s="289"/>
    </row>
    <row r="46" spans="2:19" ht="18">
      <c r="B46" s="287"/>
      <c r="C46" s="266" t="s">
        <v>222</v>
      </c>
      <c r="D46" s="267">
        <f>D43*0.54</f>
        <v>2.0250000000000001E-2</v>
      </c>
      <c r="E46" s="268" t="s">
        <v>215</v>
      </c>
      <c r="F46" s="269">
        <v>380000</v>
      </c>
      <c r="G46" s="269">
        <f t="shared" si="0"/>
        <v>7695</v>
      </c>
      <c r="H46" s="284"/>
      <c r="I46" s="223" t="s">
        <v>237</v>
      </c>
      <c r="J46" s="265">
        <v>84</v>
      </c>
      <c r="K46" s="237">
        <v>4000</v>
      </c>
      <c r="L46" s="237">
        <f>K46*J46</f>
        <v>336000</v>
      </c>
      <c r="M46" s="238"/>
      <c r="N46" s="237"/>
    </row>
    <row r="47" spans="2:19" ht="30.75" customHeight="1">
      <c r="B47" s="287"/>
      <c r="C47" s="266" t="s">
        <v>224</v>
      </c>
      <c r="D47" s="267">
        <f>D43*0.82</f>
        <v>3.0749999999999996E-2</v>
      </c>
      <c r="E47" s="268" t="s">
        <v>215</v>
      </c>
      <c r="F47" s="269">
        <v>280000</v>
      </c>
      <c r="G47" s="269">
        <f t="shared" si="0"/>
        <v>8609.9999999999982</v>
      </c>
      <c r="H47" s="284"/>
      <c r="I47" s="223" t="s">
        <v>238</v>
      </c>
      <c r="J47" s="265">
        <v>16</v>
      </c>
      <c r="K47" s="246">
        <v>51000</v>
      </c>
      <c r="L47" s="237">
        <f>K47*J47</f>
        <v>816000</v>
      </c>
      <c r="M47" s="243"/>
      <c r="N47" s="244"/>
    </row>
    <row r="48" spans="2:19" ht="15.75">
      <c r="B48" s="287"/>
      <c r="C48" s="266" t="s">
        <v>226</v>
      </c>
      <c r="D48" s="267">
        <v>0.5</v>
      </c>
      <c r="E48" s="268" t="s">
        <v>20</v>
      </c>
      <c r="F48" s="269">
        <v>100000</v>
      </c>
      <c r="G48" s="269">
        <f t="shared" si="0"/>
        <v>50000</v>
      </c>
      <c r="H48" s="284"/>
      <c r="L48" s="237"/>
      <c r="M48" s="247"/>
      <c r="N48" s="248"/>
    </row>
    <row r="49" spans="2:14" ht="15.75">
      <c r="B49" s="287"/>
      <c r="C49" s="266" t="s">
        <v>239</v>
      </c>
      <c r="D49" s="267">
        <v>0.53</v>
      </c>
      <c r="E49" s="268" t="s">
        <v>20</v>
      </c>
      <c r="F49" s="269">
        <v>45000</v>
      </c>
      <c r="G49" s="269">
        <f t="shared" si="0"/>
        <v>23850</v>
      </c>
      <c r="H49" s="284"/>
      <c r="J49" s="265"/>
      <c r="K49" s="246"/>
      <c r="L49" s="237"/>
      <c r="M49" s="291">
        <f>SUM(L45:L48)</f>
        <v>1983600</v>
      </c>
      <c r="N49" s="248"/>
    </row>
    <row r="50" spans="2:14" ht="15.75">
      <c r="B50" s="287"/>
      <c r="C50" s="266" t="s">
        <v>240</v>
      </c>
      <c r="D50" s="267">
        <v>0.3</v>
      </c>
      <c r="E50" s="268" t="s">
        <v>241</v>
      </c>
      <c r="F50" s="269">
        <v>100000</v>
      </c>
      <c r="G50" s="269">
        <f t="shared" si="0"/>
        <v>30000</v>
      </c>
      <c r="H50" s="284"/>
      <c r="J50" s="265"/>
      <c r="K50" s="246"/>
      <c r="L50" s="237"/>
      <c r="M50" s="247"/>
      <c r="N50" s="248"/>
    </row>
    <row r="51" spans="2:14" ht="15.75">
      <c r="B51" s="287"/>
      <c r="C51" s="266" t="s">
        <v>242</v>
      </c>
      <c r="D51" s="267">
        <f>D43*2.5</f>
        <v>9.375E-2</v>
      </c>
      <c r="E51" s="268" t="s">
        <v>17</v>
      </c>
      <c r="F51" s="269">
        <v>20000</v>
      </c>
      <c r="G51" s="269">
        <f t="shared" si="0"/>
        <v>1875</v>
      </c>
      <c r="H51" s="284"/>
      <c r="J51" s="265"/>
      <c r="K51" s="246"/>
      <c r="L51" s="237"/>
      <c r="M51" s="247"/>
      <c r="N51" s="248"/>
    </row>
    <row r="52" spans="2:14" ht="15.75">
      <c r="B52" s="287"/>
      <c r="C52" s="266" t="s">
        <v>243</v>
      </c>
      <c r="D52" s="267">
        <v>1.4999999999999999E-2</v>
      </c>
      <c r="E52" s="268" t="s">
        <v>15</v>
      </c>
      <c r="F52" s="269">
        <v>2500000</v>
      </c>
      <c r="G52" s="269">
        <f t="shared" si="0"/>
        <v>37500</v>
      </c>
      <c r="H52" s="284"/>
      <c r="J52" s="265"/>
      <c r="K52" s="246"/>
      <c r="L52" s="237"/>
      <c r="M52" s="247"/>
      <c r="N52" s="248"/>
    </row>
    <row r="53" spans="2:14" ht="15.75">
      <c r="B53" s="287"/>
      <c r="C53" s="266" t="s">
        <v>244</v>
      </c>
      <c r="D53" s="267">
        <f>D43*2</f>
        <v>7.4999999999999997E-2</v>
      </c>
      <c r="E53" s="268" t="s">
        <v>17</v>
      </c>
      <c r="F53" s="269">
        <v>18000</v>
      </c>
      <c r="G53" s="269">
        <f t="shared" si="0"/>
        <v>1350</v>
      </c>
      <c r="H53" s="284"/>
      <c r="J53" s="265"/>
      <c r="K53" s="246"/>
      <c r="L53" s="237"/>
      <c r="M53" s="247"/>
      <c r="N53" s="248"/>
    </row>
    <row r="54" spans="2:14" ht="15.75">
      <c r="B54" s="287"/>
      <c r="C54" s="266" t="s">
        <v>245</v>
      </c>
      <c r="D54" s="280">
        <f>0.3*0.12*3</f>
        <v>0.10799999999999998</v>
      </c>
      <c r="E54" s="281" t="s">
        <v>14</v>
      </c>
      <c r="F54" s="282">
        <v>20000</v>
      </c>
      <c r="G54" s="282">
        <f t="shared" si="0"/>
        <v>2159.9999999999995</v>
      </c>
      <c r="H54" s="284"/>
      <c r="J54" s="265"/>
      <c r="K54" s="246"/>
      <c r="L54" s="237"/>
      <c r="M54" s="247"/>
      <c r="N54" s="248"/>
    </row>
    <row r="55" spans="2:14" ht="15.75">
      <c r="B55" s="287"/>
      <c r="C55" s="266" t="s">
        <v>228</v>
      </c>
      <c r="D55" s="280">
        <f>(12.5*D48)+(4.73*D49)</f>
        <v>8.7568999999999999</v>
      </c>
      <c r="E55" s="281" t="s">
        <v>17</v>
      </c>
      <c r="F55" s="292">
        <v>3000</v>
      </c>
      <c r="G55" s="282">
        <f t="shared" si="0"/>
        <v>26270.7</v>
      </c>
      <c r="H55" s="284"/>
      <c r="J55" s="265"/>
      <c r="K55" s="246"/>
      <c r="L55" s="237"/>
      <c r="M55" s="247"/>
      <c r="N55" s="248"/>
    </row>
    <row r="56" spans="2:14" ht="18">
      <c r="B56" s="287"/>
      <c r="C56" s="279" t="s">
        <v>229</v>
      </c>
      <c r="D56" s="280">
        <f>D43*1</f>
        <v>3.7499999999999999E-2</v>
      </c>
      <c r="E56" s="281" t="s">
        <v>215</v>
      </c>
      <c r="F56" s="292">
        <v>300000</v>
      </c>
      <c r="G56" s="282">
        <f t="shared" si="0"/>
        <v>11250</v>
      </c>
      <c r="H56" s="284"/>
      <c r="J56" s="265"/>
      <c r="K56" s="246"/>
      <c r="L56" s="237"/>
      <c r="M56" s="247"/>
      <c r="N56" s="248"/>
    </row>
    <row r="57" spans="2:14" ht="15.75">
      <c r="B57" s="293"/>
      <c r="C57" s="1146" t="s">
        <v>246</v>
      </c>
      <c r="D57" s="1147"/>
      <c r="E57" s="1147"/>
      <c r="F57" s="1147"/>
      <c r="G57" s="294">
        <f>SUM(G45:G56)</f>
        <v>212935.7</v>
      </c>
      <c r="H57" s="284">
        <f>ROUNDUP(G57/D43,-3)</f>
        <v>5679000</v>
      </c>
      <c r="J57" s="265"/>
      <c r="K57" s="246"/>
      <c r="L57" s="237"/>
      <c r="M57" s="247"/>
      <c r="N57" s="248"/>
    </row>
    <row r="58" spans="2:14" ht="15.75">
      <c r="B58" s="295"/>
      <c r="C58" s="296"/>
      <c r="D58" s="296"/>
      <c r="E58" s="296"/>
      <c r="F58" s="296"/>
      <c r="G58" s="297"/>
      <c r="H58" s="298"/>
      <c r="J58" s="265"/>
      <c r="K58" s="246"/>
      <c r="L58" s="237"/>
      <c r="M58" s="247"/>
      <c r="N58" s="248"/>
    </row>
    <row r="59" spans="2:14" ht="18">
      <c r="B59" s="295"/>
      <c r="C59" s="257" t="s">
        <v>247</v>
      </c>
      <c r="D59" s="258">
        <f>0.2*0.4*4</f>
        <v>0.32000000000000006</v>
      </c>
      <c r="E59" s="259" t="s">
        <v>215</v>
      </c>
      <c r="F59" s="260"/>
      <c r="G59" s="261"/>
      <c r="H59" s="284"/>
      <c r="J59" s="265"/>
      <c r="K59" s="246"/>
      <c r="L59" s="237"/>
      <c r="M59" s="247"/>
      <c r="N59" s="248"/>
    </row>
    <row r="60" spans="2:14" ht="15.75">
      <c r="B60" s="295"/>
      <c r="C60" s="266" t="s">
        <v>234</v>
      </c>
      <c r="D60" s="267"/>
      <c r="E60" s="268"/>
      <c r="F60" s="269"/>
      <c r="G60" s="269"/>
      <c r="H60" s="284"/>
      <c r="J60" s="265"/>
      <c r="K60" s="246"/>
      <c r="L60" s="237"/>
      <c r="M60" s="247"/>
      <c r="N60" s="248"/>
    </row>
    <row r="61" spans="2:14" ht="15.75">
      <c r="B61" s="295"/>
      <c r="C61" s="266" t="s">
        <v>219</v>
      </c>
      <c r="D61" s="267">
        <f>D59*6</f>
        <v>1.9200000000000004</v>
      </c>
      <c r="E61" s="268" t="s">
        <v>220</v>
      </c>
      <c r="F61" s="269">
        <v>55000</v>
      </c>
      <c r="G61" s="269">
        <f t="shared" ref="G61:G72" si="1">F61*D61</f>
        <v>105600.00000000001</v>
      </c>
      <c r="H61" s="284"/>
      <c r="J61" s="265"/>
      <c r="K61" s="246"/>
      <c r="L61" s="237"/>
      <c r="M61" s="247"/>
      <c r="N61" s="248"/>
    </row>
    <row r="62" spans="2:14" ht="18">
      <c r="B62" s="295"/>
      <c r="C62" s="266" t="s">
        <v>222</v>
      </c>
      <c r="D62" s="267">
        <f>D59*0.54</f>
        <v>0.17280000000000004</v>
      </c>
      <c r="E62" s="268" t="s">
        <v>215</v>
      </c>
      <c r="F62" s="269">
        <v>380000</v>
      </c>
      <c r="G62" s="269">
        <f t="shared" si="1"/>
        <v>65664.000000000015</v>
      </c>
      <c r="H62" s="284"/>
      <c r="J62" s="265"/>
      <c r="K62" s="246"/>
      <c r="L62" s="237"/>
      <c r="M62" s="247"/>
      <c r="N62" s="248"/>
    </row>
    <row r="63" spans="2:14" ht="18">
      <c r="B63" s="295"/>
      <c r="C63" s="266" t="s">
        <v>224</v>
      </c>
      <c r="D63" s="267">
        <f>D59*0.82</f>
        <v>0.26240000000000002</v>
      </c>
      <c r="E63" s="268" t="s">
        <v>215</v>
      </c>
      <c r="F63" s="269">
        <v>280000</v>
      </c>
      <c r="G63" s="269">
        <f t="shared" si="1"/>
        <v>73472</v>
      </c>
      <c r="H63" s="284"/>
      <c r="J63" s="265"/>
      <c r="K63" s="246"/>
      <c r="L63" s="237"/>
      <c r="M63" s="247"/>
      <c r="N63" s="248"/>
    </row>
    <row r="64" spans="2:14" ht="15.75">
      <c r="B64" s="295"/>
      <c r="C64" s="266" t="s">
        <v>226</v>
      </c>
      <c r="D64" s="267">
        <v>3.4</v>
      </c>
      <c r="E64" s="268" t="s">
        <v>20</v>
      </c>
      <c r="F64" s="269">
        <v>100000</v>
      </c>
      <c r="G64" s="269">
        <f t="shared" si="1"/>
        <v>340000</v>
      </c>
      <c r="H64" s="284"/>
      <c r="J64" s="265"/>
      <c r="K64" s="246"/>
      <c r="L64" s="237"/>
      <c r="M64" s="247"/>
      <c r="N64" s="248"/>
    </row>
    <row r="65" spans="2:14" ht="15.75">
      <c r="B65" s="295"/>
      <c r="C65" s="266" t="s">
        <v>239</v>
      </c>
      <c r="D65" s="267">
        <v>2.7</v>
      </c>
      <c r="E65" s="268" t="s">
        <v>20</v>
      </c>
      <c r="F65" s="269">
        <v>42000</v>
      </c>
      <c r="G65" s="269">
        <f t="shared" si="1"/>
        <v>113400.00000000001</v>
      </c>
      <c r="H65" s="284"/>
      <c r="J65" s="265"/>
      <c r="K65" s="246"/>
      <c r="L65" s="237"/>
      <c r="M65" s="247"/>
      <c r="N65" s="248"/>
    </row>
    <row r="66" spans="2:14" ht="15.75">
      <c r="B66" s="295"/>
      <c r="C66" s="266" t="s">
        <v>240</v>
      </c>
      <c r="D66" s="267">
        <v>1</v>
      </c>
      <c r="E66" s="268" t="s">
        <v>241</v>
      </c>
      <c r="F66" s="269">
        <v>100000</v>
      </c>
      <c r="G66" s="269">
        <f t="shared" si="1"/>
        <v>100000</v>
      </c>
      <c r="H66" s="284"/>
      <c r="J66" s="265"/>
      <c r="K66" s="246"/>
      <c r="L66" s="237"/>
      <c r="M66" s="247"/>
      <c r="N66" s="248"/>
    </row>
    <row r="67" spans="2:14" ht="15.75">
      <c r="B67" s="295"/>
      <c r="C67" s="266" t="s">
        <v>242</v>
      </c>
      <c r="D67" s="267">
        <f>D59*2.5</f>
        <v>0.80000000000000016</v>
      </c>
      <c r="E67" s="268" t="s">
        <v>17</v>
      </c>
      <c r="F67" s="269">
        <v>20000</v>
      </c>
      <c r="G67" s="269">
        <f t="shared" si="1"/>
        <v>16000.000000000004</v>
      </c>
      <c r="H67" s="284"/>
      <c r="J67" s="265"/>
      <c r="K67" s="246"/>
      <c r="L67" s="237"/>
      <c r="M67" s="247"/>
      <c r="N67" s="248"/>
    </row>
    <row r="68" spans="2:14" ht="15.75">
      <c r="B68" s="295"/>
      <c r="C68" s="266" t="s">
        <v>243</v>
      </c>
      <c r="D68" s="267">
        <v>5.6000000000000001E-2</v>
      </c>
      <c r="E68" s="268" t="s">
        <v>15</v>
      </c>
      <c r="F68" s="269">
        <v>2500000</v>
      </c>
      <c r="G68" s="269">
        <f t="shared" si="1"/>
        <v>140000</v>
      </c>
      <c r="H68" s="284"/>
      <c r="J68" s="265"/>
      <c r="K68" s="246"/>
      <c r="L68" s="237"/>
      <c r="M68" s="247"/>
      <c r="N68" s="248"/>
    </row>
    <row r="69" spans="2:14" ht="15.75">
      <c r="B69" s="295"/>
      <c r="C69" s="266" t="s">
        <v>244</v>
      </c>
      <c r="D69" s="267">
        <f>D59*2</f>
        <v>0.64000000000000012</v>
      </c>
      <c r="E69" s="268" t="s">
        <v>17</v>
      </c>
      <c r="F69" s="269">
        <v>18000</v>
      </c>
      <c r="G69" s="269">
        <f t="shared" si="1"/>
        <v>11520.000000000002</v>
      </c>
      <c r="H69" s="284"/>
      <c r="J69" s="265"/>
      <c r="K69" s="246"/>
      <c r="L69" s="237"/>
      <c r="M69" s="247"/>
      <c r="N69" s="248"/>
    </row>
    <row r="70" spans="2:14" ht="15.75">
      <c r="B70" s="295"/>
      <c r="C70" s="266" t="s">
        <v>245</v>
      </c>
      <c r="D70" s="280">
        <f>0.3*0.12*3</f>
        <v>0.10799999999999998</v>
      </c>
      <c r="E70" s="281" t="s">
        <v>14</v>
      </c>
      <c r="F70" s="282">
        <v>20000</v>
      </c>
      <c r="G70" s="282">
        <f t="shared" si="1"/>
        <v>2159.9999999999995</v>
      </c>
      <c r="H70" s="284"/>
      <c r="J70" s="265"/>
      <c r="K70" s="246"/>
      <c r="L70" s="237"/>
      <c r="M70" s="247"/>
      <c r="N70" s="248"/>
    </row>
    <row r="71" spans="2:14" ht="15.75">
      <c r="B71" s="295"/>
      <c r="C71" s="266" t="s">
        <v>228</v>
      </c>
      <c r="D71" s="280">
        <f>(12.5*D64)+(4.73*D65)</f>
        <v>55.271000000000001</v>
      </c>
      <c r="E71" s="281" t="s">
        <v>17</v>
      </c>
      <c r="F71" s="292">
        <v>3000</v>
      </c>
      <c r="G71" s="282">
        <f t="shared" si="1"/>
        <v>165813</v>
      </c>
      <c r="H71" s="284"/>
      <c r="J71" s="265"/>
      <c r="K71" s="246"/>
      <c r="L71" s="237"/>
      <c r="M71" s="247"/>
      <c r="N71" s="248"/>
    </row>
    <row r="72" spans="2:14" ht="18">
      <c r="B72" s="295"/>
      <c r="C72" s="279" t="s">
        <v>229</v>
      </c>
      <c r="D72" s="280">
        <f>D59*1</f>
        <v>0.32000000000000006</v>
      </c>
      <c r="E72" s="281" t="s">
        <v>215</v>
      </c>
      <c r="F72" s="292">
        <v>300000</v>
      </c>
      <c r="G72" s="282">
        <f t="shared" si="1"/>
        <v>96000.000000000015</v>
      </c>
      <c r="H72" s="284"/>
      <c r="J72" s="265"/>
      <c r="K72" s="246"/>
      <c r="L72" s="237"/>
      <c r="M72" s="247"/>
      <c r="N72" s="248"/>
    </row>
    <row r="73" spans="2:14" ht="15.75">
      <c r="B73" s="295"/>
      <c r="C73" s="1146" t="s">
        <v>246</v>
      </c>
      <c r="D73" s="1147"/>
      <c r="E73" s="1147"/>
      <c r="F73" s="1147"/>
      <c r="G73" s="294">
        <f>SUM(G61:G72)</f>
        <v>1229629</v>
      </c>
      <c r="H73" s="284">
        <f>ROUNDUP(G73/D59,-3)</f>
        <v>3843000</v>
      </c>
      <c r="J73" s="265"/>
      <c r="K73" s="246"/>
      <c r="L73" s="237"/>
      <c r="M73" s="247"/>
      <c r="N73" s="248"/>
    </row>
    <row r="74" spans="2:14" ht="15.75">
      <c r="B74" s="295"/>
      <c r="C74" s="296" t="s">
        <v>248</v>
      </c>
      <c r="D74" s="296">
        <v>0.2</v>
      </c>
      <c r="E74" s="296">
        <v>0.4</v>
      </c>
      <c r="F74" s="296">
        <v>4</v>
      </c>
      <c r="G74" s="297">
        <v>9</v>
      </c>
      <c r="H74" s="299">
        <f>G74*F74*E74*D74</f>
        <v>2.8800000000000003</v>
      </c>
      <c r="J74" s="265"/>
      <c r="K74" s="246"/>
      <c r="L74" s="237"/>
      <c r="M74" s="247"/>
      <c r="N74" s="248"/>
    </row>
    <row r="75" spans="2:14" ht="15.75">
      <c r="B75" s="295"/>
      <c r="C75" s="296"/>
      <c r="D75" s="296"/>
      <c r="E75" s="296"/>
      <c r="F75" s="296"/>
      <c r="G75" s="297"/>
      <c r="H75" s="298"/>
      <c r="J75" s="265"/>
      <c r="K75" s="246"/>
      <c r="L75" s="237"/>
      <c r="M75" s="247"/>
      <c r="N75" s="248"/>
    </row>
    <row r="76" spans="2:14" ht="15.75">
      <c r="B76" s="295"/>
      <c r="C76" s="296" t="s">
        <v>249</v>
      </c>
      <c r="D76" s="296">
        <v>0.2</v>
      </c>
      <c r="E76" s="296">
        <v>0.5</v>
      </c>
      <c r="F76" s="296">
        <v>95</v>
      </c>
      <c r="G76" s="300">
        <f>F76*E76*D76</f>
        <v>9.5</v>
      </c>
      <c r="H76" s="298"/>
      <c r="J76" s="265"/>
      <c r="K76" s="246"/>
      <c r="L76" s="237"/>
      <c r="M76" s="247"/>
      <c r="N76" s="248"/>
    </row>
    <row r="77" spans="2:14" ht="15.75">
      <c r="B77" s="295"/>
      <c r="C77" s="296" t="s">
        <v>250</v>
      </c>
      <c r="D77" s="296">
        <v>0.2</v>
      </c>
      <c r="E77" s="296">
        <v>0.3</v>
      </c>
      <c r="F77" s="296">
        <v>30</v>
      </c>
      <c r="G77" s="300">
        <f>F77*E77*D77</f>
        <v>1.8</v>
      </c>
      <c r="H77" s="298"/>
      <c r="J77" s="265"/>
      <c r="K77" s="246"/>
      <c r="L77" s="237"/>
      <c r="M77" s="247"/>
      <c r="N77" s="248"/>
    </row>
    <row r="78" spans="2:14" ht="15.75">
      <c r="B78" s="295"/>
      <c r="C78" s="296" t="s">
        <v>251</v>
      </c>
      <c r="D78" s="296">
        <v>0.15</v>
      </c>
      <c r="E78" s="296">
        <v>0.25</v>
      </c>
      <c r="F78" s="296">
        <v>8</v>
      </c>
      <c r="G78" s="300">
        <f>F78*E78*D78</f>
        <v>0.3</v>
      </c>
      <c r="H78" s="298"/>
      <c r="J78" s="265"/>
      <c r="K78" s="246"/>
      <c r="L78" s="237"/>
      <c r="M78" s="247"/>
      <c r="N78" s="248"/>
    </row>
    <row r="79" spans="2:14" ht="15.75">
      <c r="B79" s="295"/>
      <c r="C79" s="296"/>
      <c r="D79" s="296"/>
      <c r="E79" s="296"/>
      <c r="F79" s="296"/>
      <c r="G79" s="297"/>
      <c r="H79" s="298"/>
      <c r="J79" s="265"/>
      <c r="K79" s="246"/>
      <c r="L79" s="237"/>
      <c r="M79" s="247"/>
      <c r="N79" s="248"/>
    </row>
    <row r="80" spans="2:14" ht="15.75">
      <c r="B80" s="295"/>
      <c r="C80" s="296"/>
      <c r="D80" s="296"/>
      <c r="E80" s="296"/>
      <c r="F80" s="296"/>
      <c r="G80" s="297"/>
      <c r="H80" s="298"/>
      <c r="J80" s="265"/>
      <c r="K80" s="246"/>
      <c r="L80" s="237"/>
      <c r="M80" s="247"/>
      <c r="N80" s="248"/>
    </row>
    <row r="81" spans="1:14" ht="15.75">
      <c r="B81" s="295"/>
      <c r="C81" s="296"/>
      <c r="D81" s="296"/>
      <c r="E81" s="296"/>
      <c r="F81" s="296"/>
      <c r="G81" s="297"/>
      <c r="H81" s="298"/>
      <c r="J81" s="265"/>
      <c r="K81" s="246"/>
      <c r="L81" s="237"/>
      <c r="M81" s="247"/>
      <c r="N81" s="248"/>
    </row>
    <row r="82" spans="1:14" ht="15.75">
      <c r="B82" s="295"/>
      <c r="C82" s="296"/>
      <c r="D82" s="296"/>
      <c r="E82" s="296"/>
      <c r="F82" s="296"/>
      <c r="G82" s="297"/>
      <c r="H82" s="298"/>
      <c r="J82" s="265"/>
      <c r="K82" s="246"/>
      <c r="L82" s="237"/>
      <c r="M82" s="247"/>
      <c r="N82" s="248"/>
    </row>
    <row r="83" spans="1:14" ht="15.75">
      <c r="B83" s="245"/>
      <c r="C83" s="232"/>
      <c r="J83" s="265"/>
      <c r="K83" s="272"/>
      <c r="L83" s="273"/>
      <c r="M83" s="247"/>
      <c r="N83" s="239"/>
    </row>
    <row r="84" spans="1:14" ht="15.75">
      <c r="B84" s="245"/>
      <c r="C84" s="232"/>
      <c r="J84" s="265"/>
      <c r="K84" s="236"/>
      <c r="L84" s="236"/>
      <c r="M84" s="290"/>
      <c r="N84" s="289"/>
    </row>
    <row r="85" spans="1:14" ht="18">
      <c r="A85" s="226">
        <v>1</v>
      </c>
      <c r="B85" s="245"/>
      <c r="C85" s="223" t="s">
        <v>252</v>
      </c>
      <c r="D85" s="233"/>
      <c r="G85" s="301"/>
      <c r="H85" s="302"/>
      <c r="I85" s="303"/>
      <c r="J85" s="265"/>
      <c r="K85" s="236"/>
      <c r="L85" s="236"/>
      <c r="M85" s="290"/>
      <c r="N85" s="289"/>
    </row>
    <row r="86" spans="1:14" ht="18">
      <c r="B86" s="245">
        <v>1</v>
      </c>
      <c r="D86" s="304">
        <v>1</v>
      </c>
      <c r="E86" s="305">
        <v>5.9</v>
      </c>
      <c r="G86" s="306"/>
      <c r="H86" s="307"/>
      <c r="I86" s="303"/>
      <c r="J86" s="265"/>
      <c r="K86" s="236"/>
      <c r="L86" s="237"/>
      <c r="M86" s="238"/>
      <c r="N86" s="237"/>
    </row>
    <row r="87" spans="1:14" ht="17.25">
      <c r="B87" s="245">
        <v>2</v>
      </c>
      <c r="D87" s="304">
        <f>2*7.12</f>
        <v>14.24</v>
      </c>
      <c r="E87" s="305">
        <v>8.2799999999999994</v>
      </c>
      <c r="G87" s="306"/>
      <c r="H87" s="307"/>
      <c r="I87" s="303"/>
      <c r="J87" s="265"/>
      <c r="K87" s="242"/>
      <c r="L87" s="242"/>
      <c r="M87" s="243"/>
      <c r="N87" s="244"/>
    </row>
    <row r="88" spans="1:14" ht="15.75">
      <c r="B88" s="308">
        <v>3</v>
      </c>
      <c r="D88" s="309">
        <v>4.5</v>
      </c>
      <c r="E88" s="305">
        <v>8.2799999999999994</v>
      </c>
      <c r="G88" s="310"/>
      <c r="H88" s="311"/>
      <c r="I88" s="311"/>
      <c r="J88" s="265"/>
      <c r="K88" s="246"/>
      <c r="L88" s="237"/>
      <c r="M88" s="247"/>
      <c r="N88" s="248"/>
    </row>
    <row r="89" spans="1:14" ht="15.75">
      <c r="B89" s="308">
        <v>4</v>
      </c>
      <c r="D89" s="309">
        <v>5.84</v>
      </c>
      <c r="E89" s="305">
        <v>5.9</v>
      </c>
      <c r="G89" s="310"/>
      <c r="H89" s="311"/>
      <c r="I89" s="311"/>
      <c r="J89" s="265"/>
      <c r="K89" s="272"/>
      <c r="L89" s="273"/>
      <c r="M89" s="247"/>
      <c r="N89" s="239"/>
    </row>
    <row r="90" spans="1:14" ht="15.75">
      <c r="B90" s="308">
        <v>5</v>
      </c>
      <c r="D90" s="309">
        <v>5.84</v>
      </c>
      <c r="E90" s="305"/>
      <c r="G90" s="310"/>
      <c r="H90" s="311"/>
      <c r="I90" s="311"/>
      <c r="J90" s="265"/>
      <c r="K90" s="236"/>
      <c r="L90" s="236"/>
      <c r="M90" s="290"/>
      <c r="N90" s="289"/>
    </row>
    <row r="91" spans="1:14" ht="15.75">
      <c r="B91" s="308">
        <v>6</v>
      </c>
      <c r="D91" s="309">
        <v>5.84</v>
      </c>
      <c r="G91" s="310"/>
      <c r="H91" s="311"/>
      <c r="I91" s="311"/>
      <c r="J91" s="265"/>
      <c r="K91" s="265"/>
      <c r="L91" s="265"/>
    </row>
    <row r="92" spans="1:14" ht="15.75">
      <c r="B92" s="308"/>
      <c r="D92" s="312">
        <f>SUM(D86:D91)</f>
        <v>37.260000000000005</v>
      </c>
      <c r="E92" s="223">
        <f>SUM(E86:E91)</f>
        <v>28.36</v>
      </c>
      <c r="G92" s="313"/>
      <c r="H92" s="314"/>
      <c r="I92" s="311"/>
    </row>
    <row r="93" spans="1:14" ht="15.75">
      <c r="B93" s="308"/>
      <c r="C93" s="223" t="s">
        <v>253</v>
      </c>
      <c r="D93" s="312"/>
      <c r="F93" s="235">
        <f>E92+D92</f>
        <v>65.62</v>
      </c>
      <c r="G93" s="301" t="s">
        <v>254</v>
      </c>
      <c r="H93" s="314"/>
      <c r="I93" s="311"/>
    </row>
    <row r="94" spans="1:14" ht="15.75">
      <c r="B94" s="308"/>
      <c r="C94" s="223" t="s">
        <v>255</v>
      </c>
      <c r="D94" s="312"/>
      <c r="F94" s="235"/>
      <c r="G94" s="313"/>
      <c r="H94" s="314"/>
      <c r="I94" s="311"/>
    </row>
    <row r="95" spans="1:14" ht="15.75">
      <c r="B95" s="308"/>
      <c r="C95" s="223">
        <v>0.33</v>
      </c>
      <c r="D95" s="312">
        <v>1</v>
      </c>
      <c r="E95" s="223">
        <f t="shared" ref="E95:E102" si="2">D95*C95</f>
        <v>0.33</v>
      </c>
      <c r="F95" s="235"/>
      <c r="G95" s="315"/>
      <c r="H95" s="225"/>
      <c r="I95" s="316"/>
    </row>
    <row r="96" spans="1:14" ht="15.75">
      <c r="B96" s="308"/>
      <c r="C96" s="223">
        <v>3.88</v>
      </c>
      <c r="D96" s="312">
        <v>1</v>
      </c>
      <c r="E96" s="223">
        <f t="shared" si="2"/>
        <v>3.88</v>
      </c>
      <c r="F96" s="235"/>
      <c r="G96" s="315"/>
      <c r="H96" s="225"/>
      <c r="I96" s="316"/>
    </row>
    <row r="97" spans="1:9" ht="15.75">
      <c r="B97" s="308"/>
      <c r="C97" s="223">
        <v>4.12</v>
      </c>
      <c r="D97" s="312">
        <v>1</v>
      </c>
      <c r="E97" s="223">
        <f t="shared" si="2"/>
        <v>4.12</v>
      </c>
      <c r="F97" s="235"/>
      <c r="G97" s="315"/>
      <c r="H97" s="225"/>
      <c r="I97" s="316"/>
    </row>
    <row r="98" spans="1:9" ht="15.75">
      <c r="B98" s="308"/>
      <c r="C98" s="223">
        <v>4.12</v>
      </c>
      <c r="D98" s="312">
        <v>1</v>
      </c>
      <c r="E98" s="223">
        <f t="shared" si="2"/>
        <v>4.12</v>
      </c>
      <c r="F98" s="235"/>
      <c r="G98" s="315"/>
      <c r="H98" s="225"/>
      <c r="I98" s="316"/>
    </row>
    <row r="99" spans="1:9" ht="15.75">
      <c r="B99" s="308"/>
      <c r="C99" s="223">
        <v>0.97</v>
      </c>
      <c r="D99" s="312">
        <v>2</v>
      </c>
      <c r="E99" s="223">
        <f t="shared" si="2"/>
        <v>1.94</v>
      </c>
      <c r="F99" s="235"/>
      <c r="G99" s="315"/>
      <c r="H99" s="225"/>
      <c r="I99" s="316"/>
    </row>
    <row r="100" spans="1:9" ht="15.75">
      <c r="B100" s="308"/>
      <c r="C100" s="223">
        <v>3.78</v>
      </c>
      <c r="D100" s="312">
        <v>2</v>
      </c>
      <c r="E100" s="223">
        <f t="shared" si="2"/>
        <v>7.56</v>
      </c>
      <c r="F100" s="235"/>
      <c r="G100" s="315"/>
      <c r="H100" s="225"/>
      <c r="I100" s="316"/>
    </row>
    <row r="101" spans="1:9" ht="15.75">
      <c r="B101" s="308"/>
      <c r="C101" s="223">
        <v>4.04</v>
      </c>
      <c r="D101" s="312">
        <v>2</v>
      </c>
      <c r="E101" s="223">
        <f t="shared" si="2"/>
        <v>8.08</v>
      </c>
      <c r="F101" s="235"/>
      <c r="G101" s="315"/>
      <c r="H101" s="225"/>
      <c r="I101" s="316"/>
    </row>
    <row r="102" spans="1:9" ht="15.75">
      <c r="B102" s="308"/>
      <c r="C102" s="223">
        <v>4.8099999999999996</v>
      </c>
      <c r="D102" s="312">
        <v>2</v>
      </c>
      <c r="E102" s="223">
        <f t="shared" si="2"/>
        <v>9.6199999999999992</v>
      </c>
      <c r="F102" s="235"/>
      <c r="G102" s="315"/>
      <c r="H102" s="225"/>
      <c r="I102" s="316"/>
    </row>
    <row r="103" spans="1:9" ht="15.75">
      <c r="B103" s="308"/>
      <c r="C103" s="223" t="s">
        <v>256</v>
      </c>
      <c r="D103" s="312"/>
      <c r="F103" s="235">
        <f>SUM(E95:E102)</f>
        <v>39.65</v>
      </c>
      <c r="G103" s="317" t="s">
        <v>14</v>
      </c>
      <c r="H103" s="225"/>
      <c r="I103" s="316"/>
    </row>
    <row r="104" spans="1:9" ht="15.75">
      <c r="A104" s="226">
        <v>2</v>
      </c>
      <c r="B104" s="308"/>
      <c r="C104" s="223" t="s">
        <v>257</v>
      </c>
      <c r="D104" s="312"/>
      <c r="F104" s="235"/>
      <c r="G104" s="315"/>
      <c r="H104" s="225"/>
      <c r="I104" s="316"/>
    </row>
    <row r="105" spans="1:9" ht="15.75">
      <c r="B105" s="308"/>
      <c r="D105" s="312"/>
      <c r="F105" s="235"/>
      <c r="G105" s="315"/>
      <c r="H105" s="225"/>
      <c r="I105" s="316"/>
    </row>
    <row r="106" spans="1:9" ht="15.75">
      <c r="B106" s="308"/>
      <c r="D106" s="318">
        <v>2.98</v>
      </c>
      <c r="E106" s="305">
        <v>2.8</v>
      </c>
      <c r="F106" s="235"/>
      <c r="G106" s="315"/>
      <c r="H106" s="225"/>
      <c r="I106" s="316"/>
    </row>
    <row r="107" spans="1:9">
      <c r="B107" s="308"/>
      <c r="D107" s="319">
        <v>5.95</v>
      </c>
      <c r="E107" s="305">
        <v>5.15</v>
      </c>
      <c r="G107" s="320"/>
      <c r="H107" s="225"/>
      <c r="I107" s="225"/>
    </row>
    <row r="108" spans="1:9">
      <c r="B108" s="321"/>
      <c r="D108" s="319">
        <v>2.95</v>
      </c>
      <c r="E108" s="305">
        <v>5.15</v>
      </c>
      <c r="G108" s="320"/>
      <c r="H108" s="225"/>
      <c r="I108" s="225"/>
    </row>
    <row r="109" spans="1:9">
      <c r="B109" s="321"/>
      <c r="E109" s="305">
        <v>2.8</v>
      </c>
      <c r="G109" s="320"/>
      <c r="H109" s="225"/>
      <c r="I109" s="225"/>
    </row>
    <row r="110" spans="1:9" ht="15.75">
      <c r="B110" s="321"/>
      <c r="C110" s="223" t="s">
        <v>253</v>
      </c>
      <c r="D110" s="223">
        <f>SUM(D106:D109)</f>
        <v>11.879999999999999</v>
      </c>
      <c r="E110" s="223">
        <f>SUM(E106:E109)</f>
        <v>15.900000000000002</v>
      </c>
      <c r="F110" s="235">
        <f>E110+D110</f>
        <v>27.78</v>
      </c>
      <c r="G110" s="320" t="s">
        <v>254</v>
      </c>
      <c r="H110" s="225"/>
      <c r="I110" s="225"/>
    </row>
    <row r="111" spans="1:9">
      <c r="B111" s="308"/>
      <c r="C111" s="223" t="s">
        <v>255</v>
      </c>
      <c r="G111" s="320"/>
      <c r="H111" s="225"/>
      <c r="I111" s="225"/>
    </row>
    <row r="112" spans="1:9">
      <c r="B112" s="321"/>
      <c r="C112" s="223">
        <v>2.2400000000000002</v>
      </c>
      <c r="D112" s="223">
        <v>1</v>
      </c>
      <c r="E112" s="223">
        <f>D112*C112</f>
        <v>2.2400000000000002</v>
      </c>
      <c r="G112" s="320"/>
      <c r="H112" s="225"/>
      <c r="I112" s="225"/>
    </row>
    <row r="113" spans="2:20">
      <c r="B113" s="321"/>
      <c r="C113" s="223">
        <v>4.12</v>
      </c>
      <c r="D113" s="223">
        <v>1</v>
      </c>
      <c r="E113" s="223">
        <f>D113*C113</f>
        <v>4.12</v>
      </c>
      <c r="G113" s="320"/>
      <c r="H113" s="225"/>
      <c r="I113" s="225"/>
    </row>
    <row r="114" spans="2:20">
      <c r="B114" s="321"/>
      <c r="C114" s="223">
        <v>0.11</v>
      </c>
      <c r="D114" s="223">
        <v>2</v>
      </c>
      <c r="E114" s="223">
        <f>D114*C114</f>
        <v>0.22</v>
      </c>
      <c r="G114" s="320"/>
      <c r="H114" s="225"/>
      <c r="I114" s="225"/>
      <c r="O114" s="245"/>
      <c r="P114" s="223"/>
      <c r="Q114" s="223"/>
      <c r="R114" s="322"/>
      <c r="S114" s="223"/>
      <c r="T114" s="223"/>
    </row>
    <row r="115" spans="2:20">
      <c r="B115" s="321"/>
      <c r="C115" s="223">
        <v>2.71</v>
      </c>
      <c r="D115" s="223">
        <v>2</v>
      </c>
      <c r="E115" s="223">
        <f>D115*C115</f>
        <v>5.42</v>
      </c>
      <c r="G115" s="320"/>
      <c r="H115" s="225"/>
      <c r="I115" s="225"/>
      <c r="O115" s="256" t="s">
        <v>258</v>
      </c>
      <c r="P115" s="256"/>
      <c r="Q115" s="323">
        <f>72/12</f>
        <v>6</v>
      </c>
      <c r="R115" s="324">
        <v>4950000</v>
      </c>
      <c r="S115" s="324">
        <f>R115*Q115</f>
        <v>29700000</v>
      </c>
      <c r="T115" s="256"/>
    </row>
    <row r="116" spans="2:20">
      <c r="B116" s="321"/>
      <c r="C116" s="223">
        <v>4.79</v>
      </c>
      <c r="D116" s="223">
        <v>2</v>
      </c>
      <c r="E116" s="223">
        <f>D116*C116</f>
        <v>9.58</v>
      </c>
      <c r="G116" s="320"/>
      <c r="H116" s="225"/>
      <c r="I116" s="225"/>
      <c r="O116" s="256"/>
      <c r="P116" s="256">
        <v>440</v>
      </c>
      <c r="Q116" s="323">
        <f>Q115</f>
        <v>6</v>
      </c>
      <c r="R116" s="324">
        <v>4000</v>
      </c>
      <c r="S116" s="324">
        <f>R116*Q116*P116</f>
        <v>10560000</v>
      </c>
      <c r="T116" s="256"/>
    </row>
    <row r="117" spans="2:20" ht="15.75">
      <c r="B117" s="321"/>
      <c r="C117" s="223" t="s">
        <v>256</v>
      </c>
      <c r="F117" s="235">
        <f>SUM(E112:E116)</f>
        <v>21.58</v>
      </c>
      <c r="G117" s="320" t="s">
        <v>14</v>
      </c>
      <c r="H117" s="225"/>
      <c r="I117" s="225"/>
      <c r="O117" s="256"/>
      <c r="P117" s="256"/>
      <c r="Q117" s="323"/>
      <c r="R117" s="324"/>
      <c r="S117" s="324"/>
      <c r="T117" s="324">
        <f>SUM(S115:S116)</f>
        <v>40260000</v>
      </c>
    </row>
    <row r="118" spans="2:20">
      <c r="B118" s="321"/>
      <c r="G118" s="320"/>
      <c r="H118" s="225"/>
      <c r="I118" s="225"/>
      <c r="O118" s="256" t="s">
        <v>259</v>
      </c>
      <c r="P118" s="256"/>
      <c r="Q118" s="323">
        <f>28/12</f>
        <v>2.3333333333333335</v>
      </c>
      <c r="R118" s="324">
        <v>6158250</v>
      </c>
      <c r="S118" s="324">
        <f>R118*Q118</f>
        <v>14369250</v>
      </c>
      <c r="T118" s="256"/>
    </row>
    <row r="119" spans="2:20">
      <c r="B119" s="321"/>
      <c r="C119" s="223" t="s">
        <v>260</v>
      </c>
      <c r="G119" s="320"/>
      <c r="H119" s="225"/>
      <c r="I119" s="225"/>
      <c r="O119" s="256"/>
      <c r="P119" s="256">
        <v>595</v>
      </c>
      <c r="Q119" s="323">
        <f>Q118</f>
        <v>2.3333333333333335</v>
      </c>
      <c r="R119" s="324">
        <v>4000</v>
      </c>
      <c r="S119" s="324">
        <f>R119*Q119*P119</f>
        <v>5553333.333333334</v>
      </c>
      <c r="T119" s="256"/>
    </row>
    <row r="120" spans="2:20">
      <c r="B120" s="321"/>
      <c r="G120" s="320"/>
      <c r="H120" s="225"/>
      <c r="I120" s="225"/>
      <c r="O120" s="256"/>
      <c r="P120" s="256"/>
      <c r="Q120" s="323"/>
      <c r="R120" s="324"/>
      <c r="S120" s="324"/>
      <c r="T120" s="324">
        <f>SUM(S118:S119)</f>
        <v>19922583.333333336</v>
      </c>
    </row>
    <row r="121" spans="2:20">
      <c r="B121" s="321"/>
      <c r="C121" s="223">
        <v>4.47</v>
      </c>
      <c r="D121" s="223">
        <v>4</v>
      </c>
      <c r="E121" s="223">
        <f>D121*C121</f>
        <v>17.88</v>
      </c>
      <c r="G121" s="320"/>
      <c r="H121" s="225"/>
      <c r="I121" s="225"/>
      <c r="O121" s="256" t="s">
        <v>261</v>
      </c>
      <c r="P121" s="256"/>
      <c r="Q121" s="323">
        <f>59/12</f>
        <v>4.916666666666667</v>
      </c>
      <c r="R121" s="324">
        <v>11825</v>
      </c>
      <c r="S121" s="324">
        <f>R121*Q121</f>
        <v>58139.583333333336</v>
      </c>
      <c r="T121" s="256"/>
    </row>
    <row r="122" spans="2:20">
      <c r="B122" s="321"/>
      <c r="C122" s="223">
        <v>2.35</v>
      </c>
      <c r="D122" s="223">
        <v>4</v>
      </c>
      <c r="E122" s="223">
        <f>D122*C122</f>
        <v>9.4</v>
      </c>
      <c r="G122" s="320"/>
      <c r="H122" s="225"/>
      <c r="I122" s="225"/>
      <c r="O122" s="256"/>
      <c r="P122" s="256">
        <v>1075</v>
      </c>
      <c r="Q122" s="323">
        <f>Q121</f>
        <v>4.916666666666667</v>
      </c>
      <c r="R122" s="324">
        <v>4000</v>
      </c>
      <c r="S122" s="324">
        <f>R122*Q122*P122</f>
        <v>21141666.666666668</v>
      </c>
      <c r="T122" s="256"/>
    </row>
    <row r="123" spans="2:20" ht="15.75">
      <c r="B123" s="321"/>
      <c r="E123" s="223">
        <f>SUM(E121:E122)</f>
        <v>27.28</v>
      </c>
      <c r="F123" s="223">
        <v>2</v>
      </c>
      <c r="G123" s="235">
        <f>F123*E123</f>
        <v>54.56</v>
      </c>
      <c r="H123" s="225" t="s">
        <v>254</v>
      </c>
      <c r="I123" s="225"/>
      <c r="O123" s="256"/>
      <c r="P123" s="256"/>
      <c r="Q123" s="323"/>
      <c r="R123" s="324"/>
      <c r="S123" s="324"/>
      <c r="T123" s="324">
        <f>SUM(S121:S122)</f>
        <v>21199806.25</v>
      </c>
    </row>
    <row r="124" spans="2:20" ht="15.75">
      <c r="B124" s="321"/>
      <c r="C124" s="223" t="s">
        <v>262</v>
      </c>
      <c r="D124" s="223">
        <v>1.08</v>
      </c>
      <c r="E124" s="223">
        <v>9</v>
      </c>
      <c r="F124" s="223">
        <v>2</v>
      </c>
      <c r="G124" s="235">
        <f>F124*E124*D124</f>
        <v>19.440000000000001</v>
      </c>
      <c r="H124" s="225" t="s">
        <v>14</v>
      </c>
      <c r="I124" s="225"/>
      <c r="O124" s="325"/>
      <c r="P124" s="326"/>
      <c r="Q124" s="246"/>
      <c r="R124" s="327"/>
      <c r="S124" s="328"/>
      <c r="T124" s="298"/>
    </row>
    <row r="125" spans="2:20">
      <c r="B125" s="321"/>
      <c r="G125" s="320"/>
      <c r="H125" s="225"/>
      <c r="I125" s="225"/>
      <c r="O125" s="256" t="s">
        <v>263</v>
      </c>
      <c r="P125" s="256"/>
      <c r="Q125" s="323">
        <f>182/12</f>
        <v>15.166666666666666</v>
      </c>
      <c r="R125" s="324">
        <v>3550000</v>
      </c>
      <c r="S125" s="324">
        <f>R125*Q125</f>
        <v>53841666.666666664</v>
      </c>
      <c r="T125" s="256"/>
    </row>
    <row r="126" spans="2:20">
      <c r="B126" s="321"/>
      <c r="C126" s="223" t="s">
        <v>264</v>
      </c>
      <c r="G126" s="320"/>
      <c r="H126" s="225"/>
      <c r="I126" s="225"/>
      <c r="O126" s="256"/>
      <c r="P126" s="256">
        <v>355</v>
      </c>
      <c r="Q126" s="323">
        <f>Q125</f>
        <v>15.166666666666666</v>
      </c>
      <c r="R126" s="324">
        <v>4000</v>
      </c>
      <c r="S126" s="324">
        <f>R126*Q126*P126</f>
        <v>21536666.666666664</v>
      </c>
      <c r="T126" s="256"/>
    </row>
    <row r="127" spans="2:20">
      <c r="B127" s="321"/>
      <c r="G127" s="320"/>
      <c r="H127" s="225"/>
      <c r="I127" s="225"/>
      <c r="O127" s="256"/>
      <c r="P127" s="256"/>
      <c r="Q127" s="323"/>
      <c r="R127" s="324"/>
      <c r="S127" s="324"/>
      <c r="T127" s="324">
        <f>SUM(S125:S126)</f>
        <v>75378333.333333328</v>
      </c>
    </row>
    <row r="128" spans="2:20" ht="15.75">
      <c r="B128" s="321"/>
      <c r="C128" s="223">
        <v>5.95</v>
      </c>
      <c r="D128" s="223">
        <v>4</v>
      </c>
      <c r="E128" s="223">
        <f>D128*C128</f>
        <v>23.8</v>
      </c>
      <c r="G128" s="320"/>
      <c r="H128" s="225"/>
      <c r="I128" s="225"/>
      <c r="O128" s="325" t="s">
        <v>265</v>
      </c>
      <c r="P128" s="326"/>
      <c r="Q128" s="246"/>
      <c r="R128" s="329"/>
      <c r="S128" s="328"/>
      <c r="T128" s="298"/>
    </row>
    <row r="129" spans="2:20">
      <c r="B129" s="321"/>
      <c r="C129" s="223">
        <v>2.35</v>
      </c>
      <c r="D129" s="223">
        <v>4</v>
      </c>
      <c r="E129" s="223">
        <f>D129*C129</f>
        <v>9.4</v>
      </c>
      <c r="G129" s="320"/>
      <c r="H129" s="225"/>
      <c r="I129" s="225"/>
      <c r="O129" s="256" t="s">
        <v>263</v>
      </c>
      <c r="P129" s="256"/>
      <c r="Q129" s="323">
        <f>(8.7*2*3)/12</f>
        <v>4.3499999999999996</v>
      </c>
      <c r="R129" s="324">
        <v>3550000</v>
      </c>
      <c r="S129" s="324">
        <f>R129*Q129</f>
        <v>15442499.999999998</v>
      </c>
      <c r="T129" s="256"/>
    </row>
    <row r="130" spans="2:20" ht="15.75">
      <c r="B130" s="321"/>
      <c r="E130" s="223">
        <f>SUM(E128:E129)</f>
        <v>33.200000000000003</v>
      </c>
      <c r="F130" s="223">
        <v>2</v>
      </c>
      <c r="G130" s="235">
        <f>F130*E130</f>
        <v>66.400000000000006</v>
      </c>
      <c r="H130" s="225" t="s">
        <v>254</v>
      </c>
      <c r="I130" s="225"/>
      <c r="O130" s="256"/>
      <c r="P130" s="256">
        <v>355</v>
      </c>
      <c r="Q130" s="323">
        <f>Q129</f>
        <v>4.3499999999999996</v>
      </c>
      <c r="R130" s="324">
        <v>4000</v>
      </c>
      <c r="S130" s="324">
        <f>R130*Q130*P130</f>
        <v>6177000</v>
      </c>
      <c r="T130" s="256"/>
    </row>
    <row r="131" spans="2:20" ht="15.75">
      <c r="B131" s="321"/>
      <c r="C131" s="223" t="s">
        <v>266</v>
      </c>
      <c r="D131" s="223">
        <v>1.08</v>
      </c>
      <c r="E131" s="223">
        <v>9</v>
      </c>
      <c r="F131" s="223">
        <v>2</v>
      </c>
      <c r="G131" s="235">
        <f>F131*E131*D131</f>
        <v>19.440000000000001</v>
      </c>
      <c r="H131" s="225" t="s">
        <v>14</v>
      </c>
      <c r="I131" s="225"/>
      <c r="O131" s="256"/>
      <c r="P131" s="256"/>
      <c r="Q131" s="323"/>
      <c r="R131" s="256"/>
      <c r="S131" s="324"/>
      <c r="T131" s="324">
        <f>SUM(S129:S130)</f>
        <v>21619500</v>
      </c>
    </row>
    <row r="132" spans="2:20">
      <c r="B132" s="321"/>
      <c r="G132" s="320"/>
      <c r="H132" s="225"/>
      <c r="I132" s="225"/>
      <c r="O132" s="330"/>
      <c r="P132" s="265"/>
      <c r="Q132" s="265"/>
      <c r="R132" s="223"/>
      <c r="S132" s="223"/>
      <c r="T132" s="223"/>
    </row>
    <row r="133" spans="2:20" ht="15.75">
      <c r="D133" s="230" t="s">
        <v>267</v>
      </c>
      <c r="E133" s="230" t="s">
        <v>268</v>
      </c>
      <c r="F133" s="230"/>
      <c r="G133" s="225"/>
      <c r="H133" s="225"/>
      <c r="I133" s="225"/>
      <c r="J133" s="225"/>
      <c r="O133" s="325" t="s">
        <v>265</v>
      </c>
      <c r="P133" s="326"/>
      <c r="Q133" s="246"/>
      <c r="R133" s="329"/>
      <c r="S133" s="328"/>
      <c r="T133" s="298"/>
    </row>
    <row r="134" spans="2:20">
      <c r="D134" s="230"/>
      <c r="E134" s="230"/>
      <c r="F134" s="230"/>
      <c r="G134" s="225"/>
      <c r="H134" s="225"/>
      <c r="I134" s="225"/>
      <c r="J134" s="225"/>
      <c r="O134" s="256" t="s">
        <v>269</v>
      </c>
      <c r="P134" s="256"/>
      <c r="Q134" s="323">
        <f>(20*20)/6</f>
        <v>66.666666666666671</v>
      </c>
      <c r="R134" s="324">
        <v>618000</v>
      </c>
      <c r="S134" s="324">
        <f>R134*Q134</f>
        <v>41200000</v>
      </c>
      <c r="T134" s="256"/>
    </row>
    <row r="135" spans="2:20">
      <c r="D135" s="230"/>
      <c r="E135" s="230"/>
      <c r="F135" s="230"/>
      <c r="G135" s="225"/>
      <c r="H135" s="225"/>
      <c r="I135" s="225"/>
      <c r="J135" s="225"/>
      <c r="O135" s="256"/>
      <c r="P135" s="256">
        <v>355</v>
      </c>
      <c r="Q135" s="323">
        <f>Q134</f>
        <v>66.666666666666671</v>
      </c>
      <c r="R135" s="324">
        <v>4000</v>
      </c>
      <c r="S135" s="324">
        <f>R135*Q135*P135</f>
        <v>94666666.666666672</v>
      </c>
      <c r="T135" s="256"/>
    </row>
    <row r="136" spans="2:20">
      <c r="D136" s="230"/>
      <c r="E136" s="230"/>
      <c r="F136" s="230"/>
      <c r="G136" s="225"/>
      <c r="H136" s="225"/>
      <c r="I136" s="225"/>
      <c r="J136" s="225"/>
      <c r="O136" s="256"/>
      <c r="P136" s="256"/>
      <c r="Q136" s="323"/>
      <c r="R136" s="256"/>
      <c r="S136" s="324"/>
      <c r="T136" s="324">
        <f>SUM(S134:S135)</f>
        <v>135866666.66666669</v>
      </c>
    </row>
    <row r="137" spans="2:20">
      <c r="D137" s="230"/>
      <c r="E137" s="230"/>
      <c r="F137" s="230"/>
      <c r="G137" s="225"/>
      <c r="H137" s="225"/>
      <c r="I137" s="225"/>
      <c r="J137" s="225"/>
    </row>
    <row r="138" spans="2:20">
      <c r="D138" s="230"/>
      <c r="E138" s="230"/>
      <c r="F138" s="230"/>
      <c r="G138" s="225"/>
      <c r="H138" s="225"/>
      <c r="I138" s="225"/>
      <c r="J138" s="225"/>
    </row>
    <row r="139" spans="2:20">
      <c r="C139" s="223" t="s">
        <v>270</v>
      </c>
      <c r="D139" s="230">
        <v>2.65</v>
      </c>
      <c r="E139" s="230">
        <v>2</v>
      </c>
      <c r="F139" s="230">
        <f>E139*D139</f>
        <v>5.3</v>
      </c>
      <c r="G139" s="225"/>
      <c r="H139" s="225"/>
      <c r="I139" s="225"/>
      <c r="J139" s="225"/>
    </row>
    <row r="140" spans="2:20">
      <c r="D140" s="230">
        <v>0.84</v>
      </c>
      <c r="E140" s="230">
        <v>2</v>
      </c>
      <c r="F140" s="230">
        <f>E140*D140</f>
        <v>1.68</v>
      </c>
      <c r="G140" s="225"/>
      <c r="H140" s="225"/>
      <c r="I140" s="225"/>
      <c r="J140" s="225"/>
    </row>
    <row r="141" spans="2:20" ht="15.75">
      <c r="D141" s="230"/>
      <c r="E141" s="230"/>
      <c r="F141" s="230"/>
      <c r="G141" s="331">
        <f>SUM(F139:F140)</f>
        <v>6.9799999999999995</v>
      </c>
      <c r="H141" s="225" t="s">
        <v>254</v>
      </c>
      <c r="I141" s="225"/>
      <c r="J141" s="225"/>
    </row>
    <row r="142" spans="2:20">
      <c r="D142" s="230"/>
      <c r="E142" s="230"/>
      <c r="F142" s="230"/>
      <c r="G142" s="225"/>
      <c r="H142" s="225"/>
      <c r="I142" s="225"/>
      <c r="J142" s="225"/>
    </row>
    <row r="143" spans="2:20">
      <c r="D143" s="230"/>
      <c r="E143" s="230"/>
      <c r="F143" s="230"/>
      <c r="G143" s="225"/>
      <c r="H143" s="225"/>
      <c r="I143" s="225"/>
      <c r="J143" s="225"/>
    </row>
    <row r="144" spans="2:20">
      <c r="D144" s="230"/>
      <c r="E144" s="230"/>
      <c r="F144" s="230"/>
      <c r="G144" s="225"/>
      <c r="H144" s="225"/>
      <c r="I144" s="225"/>
      <c r="J144" s="225"/>
    </row>
    <row r="145" spans="2:12">
      <c r="B145" s="227" t="s">
        <v>271</v>
      </c>
      <c r="D145" s="230"/>
      <c r="E145" s="230"/>
      <c r="F145" s="230"/>
      <c r="G145" s="225"/>
      <c r="H145" s="225"/>
      <c r="I145" s="225"/>
      <c r="J145" s="225"/>
      <c r="L145" s="223" t="s">
        <v>272</v>
      </c>
    </row>
    <row r="146" spans="2:12">
      <c r="C146" s="223" t="s">
        <v>273</v>
      </c>
      <c r="D146" s="230">
        <v>7.59</v>
      </c>
      <c r="E146" s="230">
        <v>2</v>
      </c>
      <c r="F146" s="230">
        <f t="shared" ref="F146:F156" si="3">E146*D146</f>
        <v>15.18</v>
      </c>
      <c r="G146" s="225"/>
      <c r="H146" s="225"/>
      <c r="I146" s="225"/>
      <c r="J146" s="225"/>
    </row>
    <row r="147" spans="2:12">
      <c r="C147" s="223" t="s">
        <v>274</v>
      </c>
      <c r="D147" s="230">
        <f>10.79+14.37</f>
        <v>25.159999999999997</v>
      </c>
      <c r="E147" s="230">
        <v>1</v>
      </c>
      <c r="F147" s="230">
        <f t="shared" si="3"/>
        <v>25.159999999999997</v>
      </c>
      <c r="G147" s="225"/>
      <c r="H147" s="225"/>
      <c r="I147" s="225"/>
      <c r="J147" s="225"/>
    </row>
    <row r="148" spans="2:12">
      <c r="C148" s="223" t="s">
        <v>275</v>
      </c>
      <c r="D148" s="230">
        <f>1.96+7.6+6.2+14.79+12.01</f>
        <v>42.559999999999995</v>
      </c>
      <c r="E148" s="230">
        <v>1</v>
      </c>
      <c r="F148" s="230">
        <f t="shared" si="3"/>
        <v>42.559999999999995</v>
      </c>
      <c r="G148" s="225"/>
      <c r="H148" s="225"/>
      <c r="I148" s="225"/>
      <c r="J148" s="225"/>
    </row>
    <row r="149" spans="2:12">
      <c r="C149" s="223" t="s">
        <v>276</v>
      </c>
      <c r="D149" s="230">
        <f>54.87+5.04</f>
        <v>59.91</v>
      </c>
      <c r="E149" s="230">
        <v>1</v>
      </c>
      <c r="F149" s="230">
        <f t="shared" si="3"/>
        <v>59.91</v>
      </c>
      <c r="G149" s="225"/>
      <c r="H149" s="225"/>
      <c r="I149" s="225"/>
      <c r="J149" s="225"/>
    </row>
    <row r="150" spans="2:12">
      <c r="C150" s="223" t="s">
        <v>277</v>
      </c>
      <c r="D150" s="230">
        <f>10.79+14.37</f>
        <v>25.159999999999997</v>
      </c>
      <c r="E150" s="230">
        <v>1</v>
      </c>
      <c r="F150" s="230">
        <f t="shared" si="3"/>
        <v>25.159999999999997</v>
      </c>
      <c r="G150" s="225"/>
      <c r="H150" s="225"/>
      <c r="I150" s="225"/>
      <c r="J150" s="225"/>
    </row>
    <row r="151" spans="2:12">
      <c r="C151" s="223" t="s">
        <v>278</v>
      </c>
      <c r="D151" s="230">
        <f>9.36+3.5+4.2+4.2</f>
        <v>21.259999999999998</v>
      </c>
      <c r="E151" s="230">
        <v>1</v>
      </c>
      <c r="F151" s="230">
        <f t="shared" si="3"/>
        <v>21.259999999999998</v>
      </c>
      <c r="G151" s="225"/>
      <c r="H151" s="225"/>
      <c r="I151" s="225"/>
      <c r="J151" s="225"/>
    </row>
    <row r="152" spans="2:12">
      <c r="C152" s="223" t="s">
        <v>279</v>
      </c>
      <c r="D152" s="230">
        <f>5.47+11.69+2.98+2.98</f>
        <v>23.12</v>
      </c>
      <c r="E152" s="230">
        <v>1</v>
      </c>
      <c r="F152" s="230">
        <f t="shared" si="3"/>
        <v>23.12</v>
      </c>
      <c r="G152" s="225"/>
      <c r="H152" s="225"/>
      <c r="I152" s="225"/>
      <c r="J152" s="225"/>
    </row>
    <row r="153" spans="2:12">
      <c r="C153" s="223" t="s">
        <v>280</v>
      </c>
      <c r="D153" s="230">
        <v>3.58</v>
      </c>
      <c r="E153" s="230">
        <v>1</v>
      </c>
      <c r="F153" s="230">
        <f t="shared" si="3"/>
        <v>3.58</v>
      </c>
      <c r="G153" s="225"/>
      <c r="H153" s="225"/>
      <c r="I153" s="225"/>
      <c r="J153" s="225"/>
    </row>
    <row r="154" spans="2:12">
      <c r="C154" s="223" t="s">
        <v>281</v>
      </c>
      <c r="D154" s="230">
        <v>10.77</v>
      </c>
      <c r="E154" s="230">
        <v>1</v>
      </c>
      <c r="F154" s="230">
        <f t="shared" si="3"/>
        <v>10.77</v>
      </c>
      <c r="G154" s="225"/>
      <c r="H154" s="225"/>
      <c r="I154" s="225"/>
      <c r="J154" s="225"/>
    </row>
    <row r="155" spans="2:12">
      <c r="C155" s="223" t="s">
        <v>282</v>
      </c>
      <c r="D155" s="230">
        <f>5.18+19.45</f>
        <v>24.63</v>
      </c>
      <c r="E155" s="230">
        <v>1</v>
      </c>
      <c r="F155" s="230">
        <f t="shared" si="3"/>
        <v>24.63</v>
      </c>
      <c r="G155" s="225"/>
      <c r="H155" s="225"/>
      <c r="I155" s="225"/>
      <c r="J155" s="225"/>
    </row>
    <row r="156" spans="2:12">
      <c r="C156" s="223" t="s">
        <v>283</v>
      </c>
      <c r="D156" s="230">
        <f>2.73+7.38</f>
        <v>10.11</v>
      </c>
      <c r="E156" s="230">
        <v>1</v>
      </c>
      <c r="F156" s="230">
        <f t="shared" si="3"/>
        <v>10.11</v>
      </c>
      <c r="G156" s="225"/>
      <c r="H156" s="225"/>
      <c r="I156" s="225"/>
      <c r="J156" s="225"/>
    </row>
    <row r="157" spans="2:12" ht="15.75">
      <c r="D157" s="230"/>
      <c r="E157" s="230"/>
      <c r="F157" s="332">
        <f>SUM(F146:F156)</f>
        <v>261.44</v>
      </c>
      <c r="G157" s="225" t="s">
        <v>14</v>
      </c>
      <c r="H157" s="225"/>
      <c r="I157" s="225"/>
      <c r="J157" s="225"/>
    </row>
    <row r="158" spans="2:12">
      <c r="D158" s="230"/>
      <c r="E158" s="230"/>
      <c r="F158" s="230"/>
      <c r="G158" s="225"/>
      <c r="H158" s="225"/>
      <c r="I158" s="225"/>
      <c r="J158" s="225"/>
    </row>
    <row r="159" spans="2:12">
      <c r="B159" s="333" t="s">
        <v>284</v>
      </c>
      <c r="D159" s="230"/>
      <c r="E159" s="230"/>
      <c r="F159" s="230"/>
      <c r="G159" s="225"/>
      <c r="H159" s="225"/>
      <c r="I159" s="225"/>
      <c r="J159" s="225"/>
    </row>
    <row r="160" spans="2:12">
      <c r="C160" s="223">
        <v>6.3</v>
      </c>
      <c r="D160" s="230">
        <v>2</v>
      </c>
      <c r="E160" s="230">
        <v>2</v>
      </c>
      <c r="F160" s="230">
        <f>E160*D160*C160</f>
        <v>25.2</v>
      </c>
      <c r="G160" s="225"/>
      <c r="H160" s="225"/>
      <c r="I160" s="225"/>
      <c r="J160" s="225"/>
    </row>
    <row r="161" spans="3:20">
      <c r="C161" s="223">
        <v>7.3</v>
      </c>
      <c r="D161" s="230">
        <v>2</v>
      </c>
      <c r="E161" s="230">
        <v>1</v>
      </c>
      <c r="F161" s="230">
        <f>E161*D161*C161</f>
        <v>14.6</v>
      </c>
      <c r="G161" s="225"/>
      <c r="H161" s="225"/>
      <c r="I161" s="225"/>
      <c r="J161" s="225"/>
    </row>
    <row r="162" spans="3:20" ht="15.75">
      <c r="D162" s="230"/>
      <c r="E162" s="230"/>
      <c r="F162" s="332">
        <f>SUM(F160:F161)</f>
        <v>39.799999999999997</v>
      </c>
      <c r="G162" s="225" t="s">
        <v>14</v>
      </c>
      <c r="H162" s="225"/>
      <c r="I162" s="225"/>
      <c r="J162" s="225"/>
    </row>
    <row r="163" spans="3:20">
      <c r="D163" s="230"/>
      <c r="E163" s="230"/>
      <c r="F163" s="230"/>
      <c r="G163" s="225"/>
      <c r="H163" s="225"/>
      <c r="I163" s="225"/>
      <c r="J163" s="225"/>
    </row>
    <row r="164" spans="3:20">
      <c r="D164" s="230"/>
      <c r="E164" s="230"/>
      <c r="F164" s="230"/>
      <c r="G164" s="225"/>
      <c r="H164" s="225"/>
      <c r="I164" s="225"/>
      <c r="J164" s="225"/>
    </row>
    <row r="165" spans="3:20">
      <c r="D165" s="223">
        <f>G85</f>
        <v>0</v>
      </c>
      <c r="E165" s="223">
        <f>G11</f>
        <v>0</v>
      </c>
      <c r="G165" s="223">
        <f>E165*D165</f>
        <v>0</v>
      </c>
    </row>
    <row r="166" spans="3:20" ht="15.75">
      <c r="D166" s="230">
        <f>H85</f>
        <v>0</v>
      </c>
      <c r="E166" s="230">
        <f>H11</f>
        <v>0</v>
      </c>
      <c r="G166" s="230">
        <f>E166*D166</f>
        <v>0</v>
      </c>
      <c r="O166" s="226" t="s">
        <v>285</v>
      </c>
      <c r="Q166" s="232"/>
      <c r="R166" s="223"/>
      <c r="S166" s="235"/>
      <c r="T166" s="223"/>
    </row>
    <row r="167" spans="3:20">
      <c r="D167" s="230"/>
      <c r="E167" s="230"/>
      <c r="G167" s="230"/>
      <c r="H167" s="223">
        <f>SUM(G165:G166)</f>
        <v>0</v>
      </c>
      <c r="P167" s="232" t="s">
        <v>286</v>
      </c>
      <c r="Q167" s="223">
        <v>2</v>
      </c>
      <c r="R167" s="226">
        <v>2250000</v>
      </c>
      <c r="S167" s="334">
        <f>R167*Q167</f>
        <v>4500000</v>
      </c>
    </row>
    <row r="168" spans="3:20" ht="15.75">
      <c r="D168" s="230"/>
      <c r="E168" s="230"/>
      <c r="G168" s="230"/>
      <c r="P168" s="232" t="s">
        <v>287</v>
      </c>
      <c r="Q168" s="223">
        <v>1</v>
      </c>
      <c r="R168" s="312">
        <v>950000</v>
      </c>
      <c r="S168" s="334">
        <f>R168*Q168</f>
        <v>950000</v>
      </c>
      <c r="T168" s="312"/>
    </row>
    <row r="169" spans="3:20" ht="15.75">
      <c r="D169" s="230"/>
      <c r="E169" s="230"/>
      <c r="G169" s="230"/>
      <c r="P169" s="232" t="s">
        <v>237</v>
      </c>
      <c r="Q169" s="223">
        <v>1</v>
      </c>
      <c r="R169" s="312">
        <v>200000</v>
      </c>
      <c r="S169" s="334">
        <f>R169*Q169</f>
        <v>200000</v>
      </c>
      <c r="T169" s="312"/>
    </row>
    <row r="170" spans="3:20" ht="15.75">
      <c r="D170" s="230"/>
      <c r="E170" s="230"/>
      <c r="G170" s="230"/>
      <c r="P170" s="232"/>
      <c r="Q170" s="223"/>
      <c r="R170" s="235"/>
      <c r="S170" s="223"/>
      <c r="T170" s="335">
        <f>SUM(S167:S169)</f>
        <v>5650000</v>
      </c>
    </row>
    <row r="171" spans="3:20">
      <c r="D171" s="230"/>
      <c r="E171" s="230"/>
      <c r="G171" s="230"/>
    </row>
    <row r="172" spans="3:20">
      <c r="D172" s="230"/>
      <c r="E172" s="230"/>
      <c r="G172" s="230"/>
    </row>
    <row r="173" spans="3:20">
      <c r="D173" s="230"/>
      <c r="E173" s="230"/>
      <c r="G173" s="230"/>
    </row>
    <row r="174" spans="3:20">
      <c r="D174" s="230"/>
      <c r="E174" s="230"/>
      <c r="G174" s="230"/>
    </row>
    <row r="175" spans="3:20">
      <c r="D175" s="230"/>
      <c r="E175" s="230"/>
      <c r="G175" s="230"/>
    </row>
    <row r="176" spans="3:20">
      <c r="D176" s="230"/>
      <c r="E176" s="230"/>
      <c r="G176" s="230"/>
    </row>
    <row r="177" spans="2:10">
      <c r="D177" s="230"/>
      <c r="E177" s="230"/>
      <c r="G177" s="230"/>
    </row>
    <row r="178" spans="2:10">
      <c r="C178" s="231"/>
    </row>
    <row r="181" spans="2:10">
      <c r="C181" s="231"/>
      <c r="D181" s="336"/>
    </row>
    <row r="182" spans="2:10">
      <c r="B182" s="231"/>
    </row>
    <row r="183" spans="2:10">
      <c r="B183" s="231"/>
      <c r="C183" s="336"/>
    </row>
    <row r="184" spans="2:10" ht="15.75">
      <c r="B184" s="337"/>
      <c r="C184" s="233"/>
      <c r="I184" s="235"/>
      <c r="J184" s="227"/>
    </row>
    <row r="185" spans="2:10">
      <c r="B185" s="245"/>
    </row>
    <row r="186" spans="2:10">
      <c r="D186" s="223">
        <f>D166</f>
        <v>0</v>
      </c>
      <c r="E186" s="223">
        <v>2</v>
      </c>
      <c r="G186" s="230">
        <f>E186*D186</f>
        <v>0</v>
      </c>
      <c r="H186" s="223" t="s">
        <v>14</v>
      </c>
    </row>
    <row r="187" spans="2:10">
      <c r="B187" s="245"/>
      <c r="C187" s="338" t="s">
        <v>288</v>
      </c>
    </row>
    <row r="188" spans="2:10" ht="15.75">
      <c r="B188" s="333" t="s">
        <v>289</v>
      </c>
      <c r="D188" s="338"/>
      <c r="E188" s="223">
        <v>69.45</v>
      </c>
      <c r="F188" s="223">
        <v>2</v>
      </c>
      <c r="G188" s="312">
        <f>F188*E188</f>
        <v>138.9</v>
      </c>
    </row>
    <row r="189" spans="2:10" ht="15.75">
      <c r="B189" s="333" t="s">
        <v>290</v>
      </c>
      <c r="D189" s="338"/>
      <c r="E189" s="223">
        <v>51.89</v>
      </c>
      <c r="F189" s="223">
        <v>1</v>
      </c>
      <c r="G189" s="312">
        <f>F189*E189</f>
        <v>51.89</v>
      </c>
    </row>
    <row r="190" spans="2:10" ht="15.75">
      <c r="B190" s="245"/>
      <c r="D190" s="338"/>
      <c r="H190" s="235">
        <f>SUM(G188:G189)</f>
        <v>190.79000000000002</v>
      </c>
    </row>
    <row r="191" spans="2:10">
      <c r="B191" s="333" t="s">
        <v>291</v>
      </c>
      <c r="D191" s="338"/>
      <c r="G191" s="223">
        <f>G201</f>
        <v>231.5248</v>
      </c>
    </row>
    <row r="194" spans="1:11">
      <c r="B194" s="339"/>
      <c r="I194" s="225"/>
      <c r="J194" s="225"/>
      <c r="K194" s="225"/>
    </row>
    <row r="195" spans="1:11">
      <c r="A195" s="226" t="s">
        <v>292</v>
      </c>
      <c r="B195" s="339"/>
      <c r="I195" s="225"/>
      <c r="J195" s="225"/>
      <c r="K195" s="225"/>
    </row>
    <row r="196" spans="1:11">
      <c r="B196" s="339">
        <v>1</v>
      </c>
      <c r="C196" s="223">
        <v>3</v>
      </c>
      <c r="D196" s="223">
        <v>1.5</v>
      </c>
      <c r="F196" s="223">
        <f>D196*C196</f>
        <v>4.5</v>
      </c>
      <c r="I196" s="225"/>
      <c r="J196" s="225"/>
      <c r="K196" s="225"/>
    </row>
    <row r="197" spans="1:11">
      <c r="B197" s="339">
        <v>2</v>
      </c>
      <c r="C197" s="223">
        <v>11.75</v>
      </c>
      <c r="D197" s="223">
        <v>12</v>
      </c>
      <c r="F197" s="223">
        <f>D197*C197</f>
        <v>141</v>
      </c>
      <c r="I197" s="225"/>
      <c r="J197" s="225"/>
      <c r="K197" s="225"/>
    </row>
    <row r="198" spans="1:11">
      <c r="B198" s="339">
        <v>3</v>
      </c>
      <c r="C198" s="223">
        <v>5.0599999999999996</v>
      </c>
      <c r="D198" s="223">
        <v>1.94</v>
      </c>
      <c r="E198" s="223">
        <v>2</v>
      </c>
      <c r="F198" s="223">
        <f>E198*D198*C198</f>
        <v>19.6328</v>
      </c>
      <c r="I198" s="225"/>
      <c r="J198" s="225"/>
      <c r="K198" s="225"/>
    </row>
    <row r="199" spans="1:11">
      <c r="B199" s="339">
        <v>4</v>
      </c>
      <c r="C199" s="223">
        <v>6.28</v>
      </c>
      <c r="D199" s="223">
        <v>6.2</v>
      </c>
      <c r="F199" s="223">
        <f>D199*C199</f>
        <v>38.936</v>
      </c>
      <c r="I199" s="225"/>
      <c r="J199" s="225"/>
      <c r="K199" s="225"/>
    </row>
    <row r="200" spans="1:11">
      <c r="B200" s="339">
        <v>5</v>
      </c>
      <c r="C200" s="223">
        <v>4.8</v>
      </c>
      <c r="D200" s="223">
        <v>2.86</v>
      </c>
      <c r="E200" s="223">
        <v>2</v>
      </c>
      <c r="F200" s="223">
        <f>E200*D200*C200</f>
        <v>27.456</v>
      </c>
      <c r="I200" s="225"/>
      <c r="J200" s="225"/>
      <c r="K200" s="225"/>
    </row>
    <row r="201" spans="1:11" ht="15.75">
      <c r="G201" s="235">
        <f>SUM(F196:F200)</f>
        <v>231.5248</v>
      </c>
      <c r="H201" s="235"/>
    </row>
    <row r="202" spans="1:11">
      <c r="B202" s="339"/>
      <c r="G202" s="340"/>
      <c r="H202" s="340"/>
      <c r="K202" s="225"/>
    </row>
    <row r="203" spans="1:11">
      <c r="B203" s="333" t="s">
        <v>293</v>
      </c>
      <c r="D203" s="223">
        <v>4.8</v>
      </c>
      <c r="E203" s="223">
        <v>2.86</v>
      </c>
      <c r="F203" s="223">
        <v>2</v>
      </c>
      <c r="G203" s="223">
        <f>F203*E203*D203</f>
        <v>27.456</v>
      </c>
      <c r="J203" s="230"/>
    </row>
    <row r="204" spans="1:11">
      <c r="B204" s="333" t="s">
        <v>294</v>
      </c>
      <c r="D204" s="223">
        <v>6.2</v>
      </c>
      <c r="E204" s="223">
        <v>6.28</v>
      </c>
      <c r="G204" s="223">
        <f>E204*D204</f>
        <v>38.936</v>
      </c>
      <c r="K204" s="340"/>
    </row>
    <row r="205" spans="1:11">
      <c r="B205" s="333" t="s">
        <v>295</v>
      </c>
      <c r="D205" s="223">
        <v>11.75</v>
      </c>
      <c r="E205" s="223">
        <v>12</v>
      </c>
      <c r="F205" s="223">
        <v>4.5</v>
      </c>
      <c r="G205" s="223">
        <f>D205*E205+F205</f>
        <v>145.5</v>
      </c>
      <c r="K205" s="340"/>
    </row>
    <row r="206" spans="1:11" ht="17.25">
      <c r="B206" s="339" t="s">
        <v>296</v>
      </c>
      <c r="D206" s="223">
        <v>2</v>
      </c>
      <c r="E206" s="223">
        <v>5</v>
      </c>
      <c r="F206" s="223">
        <v>2</v>
      </c>
      <c r="G206" s="223">
        <f>F206*E206*D206</f>
        <v>20</v>
      </c>
      <c r="J206" s="341"/>
      <c r="K206" s="340"/>
    </row>
    <row r="207" spans="1:11">
      <c r="B207" s="339"/>
      <c r="J207" s="342"/>
      <c r="K207" s="342"/>
    </row>
    <row r="208" spans="1:11">
      <c r="A208" s="224"/>
      <c r="B208" s="343" t="s">
        <v>297</v>
      </c>
      <c r="D208" s="223">
        <v>3</v>
      </c>
      <c r="E208" s="223">
        <v>6</v>
      </c>
      <c r="F208" s="223">
        <f>E208*D208</f>
        <v>18</v>
      </c>
      <c r="G208" s="320"/>
      <c r="H208" s="227"/>
    </row>
    <row r="209" spans="2:10">
      <c r="B209" s="339"/>
      <c r="F209" s="223">
        <v>1.4</v>
      </c>
    </row>
    <row r="210" spans="2:10" ht="15.75">
      <c r="B210" s="339"/>
      <c r="F210" s="223">
        <f>SUM(F208:F209)</f>
        <v>19.399999999999999</v>
      </c>
      <c r="G210" s="223">
        <v>3</v>
      </c>
      <c r="H210" s="235">
        <f>G210*F210</f>
        <v>58.199999999999996</v>
      </c>
    </row>
    <row r="211" spans="2:10" ht="15.75">
      <c r="B211" s="344"/>
      <c r="G211" s="230"/>
      <c r="H211" s="230"/>
    </row>
    <row r="212" spans="2:10">
      <c r="B212" s="345" t="s">
        <v>298</v>
      </c>
    </row>
    <row r="213" spans="2:10">
      <c r="B213" s="346"/>
      <c r="D213" s="223" t="s">
        <v>299</v>
      </c>
      <c r="E213" s="223" t="s">
        <v>267</v>
      </c>
      <c r="F213" s="223" t="s">
        <v>241</v>
      </c>
      <c r="G213" s="223" t="s">
        <v>300</v>
      </c>
      <c r="H213" s="223" t="s">
        <v>301</v>
      </c>
    </row>
    <row r="214" spans="2:10">
      <c r="B214" s="346"/>
      <c r="C214" s="223" t="s">
        <v>302</v>
      </c>
      <c r="D214" s="223">
        <v>0.15</v>
      </c>
      <c r="E214" s="223">
        <v>1</v>
      </c>
      <c r="F214" s="223">
        <v>1</v>
      </c>
      <c r="G214" s="223">
        <f>F214*E214*D214</f>
        <v>0.15</v>
      </c>
      <c r="H214" s="223">
        <v>350000</v>
      </c>
      <c r="I214" s="223">
        <f>H214*G214</f>
        <v>52500</v>
      </c>
    </row>
    <row r="215" spans="2:10">
      <c r="B215" s="346"/>
      <c r="C215" s="223" t="s">
        <v>303</v>
      </c>
      <c r="D215" s="223">
        <v>0.03</v>
      </c>
      <c r="E215" s="223">
        <v>1</v>
      </c>
      <c r="F215" s="223">
        <v>1</v>
      </c>
      <c r="G215" s="223">
        <f>F215*E215*D215</f>
        <v>0.03</v>
      </c>
      <c r="H215" s="223">
        <v>420000</v>
      </c>
      <c r="I215" s="223">
        <f>H215*G215</f>
        <v>12600</v>
      </c>
    </row>
    <row r="216" spans="2:10">
      <c r="C216" s="223" t="s">
        <v>304</v>
      </c>
      <c r="D216" s="223">
        <v>1</v>
      </c>
      <c r="E216" s="223">
        <v>1</v>
      </c>
      <c r="F216" s="225">
        <v>1</v>
      </c>
      <c r="G216" s="223">
        <f>F216*E216*D216</f>
        <v>1</v>
      </c>
      <c r="H216" s="225">
        <v>100000</v>
      </c>
      <c r="I216" s="223">
        <f>H216*G216</f>
        <v>100000</v>
      </c>
    </row>
    <row r="217" spans="2:10">
      <c r="C217" s="223" t="s">
        <v>229</v>
      </c>
      <c r="E217" s="225"/>
      <c r="G217" s="225">
        <v>1</v>
      </c>
      <c r="H217" s="225">
        <v>50000</v>
      </c>
      <c r="I217" s="223">
        <f>H217*G217</f>
        <v>50000</v>
      </c>
    </row>
    <row r="218" spans="2:10">
      <c r="B218" s="330"/>
      <c r="D218" s="223" t="s">
        <v>305</v>
      </c>
      <c r="J218" s="223">
        <f>SUM(I214:I217)</f>
        <v>215100</v>
      </c>
    </row>
    <row r="219" spans="2:10">
      <c r="E219" s="225"/>
    </row>
    <row r="220" spans="2:10">
      <c r="C220" s="223" t="s">
        <v>142</v>
      </c>
      <c r="D220" s="223" t="s">
        <v>299</v>
      </c>
      <c r="E220" s="225" t="s">
        <v>306</v>
      </c>
      <c r="F220" s="223" t="s">
        <v>307</v>
      </c>
      <c r="G220" s="225" t="s">
        <v>308</v>
      </c>
      <c r="H220" s="225"/>
    </row>
    <row r="221" spans="2:10">
      <c r="D221" s="223">
        <v>0.2</v>
      </c>
      <c r="E221" s="223">
        <v>6</v>
      </c>
      <c r="F221" s="223">
        <v>2</v>
      </c>
      <c r="G221" s="223" t="s">
        <v>15</v>
      </c>
      <c r="H221" s="225">
        <f>F221*E221*D221</f>
        <v>2.4000000000000004</v>
      </c>
      <c r="I221" s="225"/>
    </row>
    <row r="223" spans="2:10" ht="18">
      <c r="B223" s="347" t="s">
        <v>309</v>
      </c>
      <c r="C223" s="348" t="s">
        <v>310</v>
      </c>
      <c r="D223" s="349">
        <f>1*0.15*0.3</f>
        <v>4.4999999999999998E-2</v>
      </c>
      <c r="E223" s="350" t="s">
        <v>311</v>
      </c>
      <c r="F223" s="351"/>
      <c r="G223" s="352"/>
      <c r="H223" s="353"/>
    </row>
    <row r="224" spans="2:10" ht="16.5">
      <c r="B224" s="347"/>
      <c r="C224" s="354" t="s">
        <v>234</v>
      </c>
      <c r="D224" s="355"/>
      <c r="E224" s="356"/>
      <c r="F224" s="357"/>
      <c r="G224" s="357"/>
      <c r="H224" s="353"/>
    </row>
    <row r="225" spans="2:9" ht="16.5">
      <c r="B225" s="347"/>
      <c r="C225" s="354" t="s">
        <v>219</v>
      </c>
      <c r="D225" s="355">
        <f>D223*6</f>
        <v>0.27</v>
      </c>
      <c r="E225" s="356" t="s">
        <v>220</v>
      </c>
      <c r="F225" s="357">
        <v>53000</v>
      </c>
      <c r="G225" s="357">
        <f t="shared" ref="G225:G236" si="4">F225*D225</f>
        <v>14310.000000000002</v>
      </c>
      <c r="H225" s="353"/>
    </row>
    <row r="226" spans="2:9" ht="18">
      <c r="B226" s="347"/>
      <c r="C226" s="354" t="s">
        <v>222</v>
      </c>
      <c r="D226" s="355">
        <f>D223*0.54</f>
        <v>2.4300000000000002E-2</v>
      </c>
      <c r="E226" s="356" t="s">
        <v>311</v>
      </c>
      <c r="F226" s="357">
        <v>310000</v>
      </c>
      <c r="G226" s="357">
        <f t="shared" si="4"/>
        <v>7533.0000000000009</v>
      </c>
      <c r="H226" s="353"/>
    </row>
    <row r="227" spans="2:9" ht="18">
      <c r="B227" s="347"/>
      <c r="C227" s="354" t="s">
        <v>224</v>
      </c>
      <c r="D227" s="355">
        <f>D223*0.82</f>
        <v>3.6899999999999995E-2</v>
      </c>
      <c r="E227" s="356" t="s">
        <v>311</v>
      </c>
      <c r="F227" s="357">
        <v>310000</v>
      </c>
      <c r="G227" s="357">
        <f t="shared" si="4"/>
        <v>11438.999999999998</v>
      </c>
      <c r="H227" s="353"/>
    </row>
    <row r="228" spans="2:9" ht="16.5">
      <c r="B228" s="347"/>
      <c r="C228" s="354" t="s">
        <v>226</v>
      </c>
      <c r="D228" s="355">
        <v>1</v>
      </c>
      <c r="E228" s="356" t="s">
        <v>20</v>
      </c>
      <c r="F228" s="357">
        <v>103000</v>
      </c>
      <c r="G228" s="357">
        <f t="shared" si="4"/>
        <v>103000</v>
      </c>
      <c r="H228" s="353"/>
    </row>
    <row r="229" spans="2:9" ht="16.5">
      <c r="B229" s="347"/>
      <c r="C229" s="354" t="s">
        <v>239</v>
      </c>
      <c r="D229" s="355">
        <v>0.2</v>
      </c>
      <c r="E229" s="356" t="s">
        <v>20</v>
      </c>
      <c r="F229" s="357">
        <v>39000</v>
      </c>
      <c r="G229" s="357">
        <f t="shared" si="4"/>
        <v>7800</v>
      </c>
      <c r="H229" s="353"/>
    </row>
    <row r="230" spans="2:9" ht="16.5">
      <c r="B230" s="347"/>
      <c r="C230" s="354" t="s">
        <v>240</v>
      </c>
      <c r="D230" s="355">
        <v>0.5</v>
      </c>
      <c r="E230" s="356" t="s">
        <v>241</v>
      </c>
      <c r="F230" s="357">
        <v>95000</v>
      </c>
      <c r="G230" s="357">
        <f t="shared" si="4"/>
        <v>47500</v>
      </c>
      <c r="H230" s="353"/>
      <c r="I230" s="225"/>
    </row>
    <row r="231" spans="2:9" ht="16.5">
      <c r="B231" s="347"/>
      <c r="C231" s="354" t="s">
        <v>242</v>
      </c>
      <c r="D231" s="355">
        <f>D223*2.5</f>
        <v>0.11249999999999999</v>
      </c>
      <c r="E231" s="356" t="s">
        <v>17</v>
      </c>
      <c r="F231" s="357">
        <v>20000</v>
      </c>
      <c r="G231" s="357">
        <f t="shared" si="4"/>
        <v>2250</v>
      </c>
      <c r="H231" s="353"/>
      <c r="I231" s="225"/>
    </row>
    <row r="232" spans="2:9" ht="16.5">
      <c r="B232" s="347"/>
      <c r="C232" s="354" t="s">
        <v>243</v>
      </c>
      <c r="D232" s="355">
        <v>0.02</v>
      </c>
      <c r="E232" s="356" t="s">
        <v>15</v>
      </c>
      <c r="F232" s="357">
        <v>2500000</v>
      </c>
      <c r="G232" s="357">
        <f t="shared" si="4"/>
        <v>50000</v>
      </c>
      <c r="H232" s="353"/>
      <c r="I232" s="225"/>
    </row>
    <row r="233" spans="2:9" ht="16.5">
      <c r="B233" s="347"/>
      <c r="C233" s="354" t="s">
        <v>244</v>
      </c>
      <c r="D233" s="355">
        <f>D223*2</f>
        <v>0.09</v>
      </c>
      <c r="E233" s="356" t="s">
        <v>17</v>
      </c>
      <c r="F233" s="357">
        <v>18000</v>
      </c>
      <c r="G233" s="357">
        <f t="shared" si="4"/>
        <v>1620</v>
      </c>
      <c r="H233" s="353"/>
      <c r="I233" s="225"/>
    </row>
    <row r="234" spans="2:9" ht="16.5">
      <c r="B234" s="347"/>
      <c r="C234" s="354" t="s">
        <v>245</v>
      </c>
      <c r="D234" s="358">
        <f>0.3*0.12*3</f>
        <v>0.10799999999999998</v>
      </c>
      <c r="E234" s="359" t="s">
        <v>14</v>
      </c>
      <c r="F234" s="360">
        <v>20000</v>
      </c>
      <c r="G234" s="360">
        <f t="shared" si="4"/>
        <v>2159.9999999999995</v>
      </c>
      <c r="H234" s="353"/>
      <c r="I234" s="225"/>
    </row>
    <row r="235" spans="2:9" ht="16.5">
      <c r="B235" s="347"/>
      <c r="C235" s="354" t="s">
        <v>228</v>
      </c>
      <c r="D235" s="358">
        <v>8.67</v>
      </c>
      <c r="E235" s="359" t="s">
        <v>17</v>
      </c>
      <c r="F235" s="361">
        <v>3000</v>
      </c>
      <c r="G235" s="360">
        <f t="shared" si="4"/>
        <v>26010</v>
      </c>
      <c r="H235" s="353"/>
      <c r="I235" s="225"/>
    </row>
    <row r="236" spans="2:9" ht="18">
      <c r="B236" s="347"/>
      <c r="C236" s="362" t="s">
        <v>229</v>
      </c>
      <c r="D236" s="358">
        <f>D223*1</f>
        <v>4.4999999999999998E-2</v>
      </c>
      <c r="E236" s="359" t="s">
        <v>311</v>
      </c>
      <c r="F236" s="361">
        <v>300000</v>
      </c>
      <c r="G236" s="360">
        <f t="shared" si="4"/>
        <v>13500</v>
      </c>
      <c r="H236" s="353"/>
      <c r="I236" s="225"/>
    </row>
    <row r="237" spans="2:9" ht="16.5">
      <c r="B237" s="363"/>
      <c r="C237" s="1148" t="s">
        <v>246</v>
      </c>
      <c r="D237" s="1149"/>
      <c r="E237" s="1149"/>
      <c r="F237" s="1149"/>
      <c r="G237" s="364">
        <f>SUM(G225:G236)</f>
        <v>287122</v>
      </c>
      <c r="H237" s="353">
        <f>ROUNDUP(G237/D223,-3)</f>
        <v>6381000</v>
      </c>
      <c r="I237" s="225"/>
    </row>
    <row r="238" spans="2:9">
      <c r="I238" s="225"/>
    </row>
    <row r="239" spans="2:9" ht="18">
      <c r="B239" s="340"/>
      <c r="C239" s="348" t="s">
        <v>312</v>
      </c>
      <c r="D239" s="349">
        <f>0.2*6*2</f>
        <v>2.4000000000000004</v>
      </c>
      <c r="E239" s="350" t="s">
        <v>311</v>
      </c>
      <c r="F239" s="351"/>
      <c r="G239" s="352"/>
      <c r="H239" s="353"/>
      <c r="I239" s="225"/>
    </row>
    <row r="240" spans="2:9" ht="16.5">
      <c r="B240" s="340"/>
      <c r="C240" s="354" t="s">
        <v>234</v>
      </c>
      <c r="D240" s="355"/>
      <c r="E240" s="356"/>
      <c r="F240" s="357"/>
      <c r="G240" s="357"/>
      <c r="H240" s="353"/>
      <c r="I240" s="225"/>
    </row>
    <row r="241" spans="2:10" ht="16.5">
      <c r="B241" s="340"/>
      <c r="C241" s="354" t="s">
        <v>219</v>
      </c>
      <c r="D241" s="355">
        <f>D239*6</f>
        <v>14.400000000000002</v>
      </c>
      <c r="E241" s="356" t="s">
        <v>220</v>
      </c>
      <c r="F241" s="357">
        <v>53000</v>
      </c>
      <c r="G241" s="357">
        <f t="shared" ref="G241:G251" si="5">F241*D241</f>
        <v>763200.00000000012</v>
      </c>
      <c r="H241" s="353"/>
      <c r="I241" s="225"/>
    </row>
    <row r="242" spans="2:10" ht="18">
      <c r="B242" s="340"/>
      <c r="C242" s="354" t="s">
        <v>222</v>
      </c>
      <c r="D242" s="355">
        <f>D239*0.54</f>
        <v>1.2960000000000003</v>
      </c>
      <c r="E242" s="356" t="s">
        <v>311</v>
      </c>
      <c r="F242" s="357">
        <v>310000</v>
      </c>
      <c r="G242" s="357">
        <f t="shared" si="5"/>
        <v>401760.00000000006</v>
      </c>
      <c r="H242" s="353"/>
      <c r="I242" s="342"/>
    </row>
    <row r="243" spans="2:10" ht="18">
      <c r="C243" s="354" t="s">
        <v>224</v>
      </c>
      <c r="D243" s="355">
        <f>D239*0.82</f>
        <v>1.9680000000000002</v>
      </c>
      <c r="E243" s="356" t="s">
        <v>311</v>
      </c>
      <c r="F243" s="357">
        <v>310000</v>
      </c>
      <c r="G243" s="357">
        <f t="shared" si="5"/>
        <v>610080.00000000012</v>
      </c>
      <c r="H243" s="353"/>
    </row>
    <row r="244" spans="2:10" ht="16.5">
      <c r="C244" s="354" t="s">
        <v>313</v>
      </c>
      <c r="D244" s="355">
        <v>28</v>
      </c>
      <c r="E244" s="356" t="s">
        <v>20</v>
      </c>
      <c r="F244" s="357">
        <v>87000</v>
      </c>
      <c r="G244" s="357">
        <f t="shared" si="5"/>
        <v>2436000</v>
      </c>
      <c r="H244" s="353"/>
    </row>
    <row r="245" spans="2:10" ht="16.5">
      <c r="C245" s="354" t="s">
        <v>240</v>
      </c>
      <c r="D245" s="355">
        <v>4</v>
      </c>
      <c r="E245" s="356" t="s">
        <v>241</v>
      </c>
      <c r="F245" s="357">
        <v>95000</v>
      </c>
      <c r="G245" s="357">
        <f t="shared" si="5"/>
        <v>380000</v>
      </c>
      <c r="H245" s="353"/>
    </row>
    <row r="246" spans="2:10" ht="18">
      <c r="C246" s="354" t="s">
        <v>242</v>
      </c>
      <c r="D246" s="355">
        <f>D239*2.5</f>
        <v>6.0000000000000009</v>
      </c>
      <c r="E246" s="356" t="s">
        <v>17</v>
      </c>
      <c r="F246" s="357">
        <v>20000</v>
      </c>
      <c r="G246" s="357">
        <f t="shared" si="5"/>
        <v>120000.00000000001</v>
      </c>
      <c r="H246" s="353"/>
      <c r="I246" s="341"/>
    </row>
    <row r="247" spans="2:10" ht="16.5">
      <c r="C247" s="354" t="s">
        <v>243</v>
      </c>
      <c r="D247" s="355">
        <v>0.5</v>
      </c>
      <c r="E247" s="356" t="s">
        <v>15</v>
      </c>
      <c r="F247" s="357">
        <v>2500000</v>
      </c>
      <c r="G247" s="357">
        <f t="shared" si="5"/>
        <v>1250000</v>
      </c>
      <c r="H247" s="353"/>
      <c r="I247" s="342"/>
      <c r="J247" s="342"/>
    </row>
    <row r="248" spans="2:10" ht="16.5">
      <c r="C248" s="354" t="s">
        <v>244</v>
      </c>
      <c r="D248" s="355">
        <f>D239*2</f>
        <v>4.8000000000000007</v>
      </c>
      <c r="E248" s="356" t="s">
        <v>17</v>
      </c>
      <c r="F248" s="357">
        <v>18000</v>
      </c>
      <c r="G248" s="357">
        <f t="shared" si="5"/>
        <v>86400.000000000015</v>
      </c>
      <c r="H248" s="353"/>
    </row>
    <row r="249" spans="2:10" ht="16.5">
      <c r="C249" s="354" t="s">
        <v>245</v>
      </c>
      <c r="D249" s="358">
        <f>2*6</f>
        <v>12</v>
      </c>
      <c r="E249" s="359" t="s">
        <v>14</v>
      </c>
      <c r="F249" s="360">
        <v>20000</v>
      </c>
      <c r="G249" s="360">
        <f t="shared" si="5"/>
        <v>240000</v>
      </c>
      <c r="H249" s="353"/>
    </row>
    <row r="250" spans="2:10" ht="16.5">
      <c r="C250" s="354" t="s">
        <v>228</v>
      </c>
      <c r="D250" s="358">
        <f>D244*7.39</f>
        <v>206.92</v>
      </c>
      <c r="E250" s="359" t="s">
        <v>17</v>
      </c>
      <c r="F250" s="361">
        <v>3000</v>
      </c>
      <c r="G250" s="360">
        <f t="shared" si="5"/>
        <v>620760</v>
      </c>
      <c r="H250" s="353"/>
    </row>
    <row r="251" spans="2:10" ht="18">
      <c r="C251" s="362" t="s">
        <v>229</v>
      </c>
      <c r="D251" s="358">
        <f>D239*1</f>
        <v>2.4000000000000004</v>
      </c>
      <c r="E251" s="359" t="s">
        <v>311</v>
      </c>
      <c r="F251" s="361">
        <v>300000</v>
      </c>
      <c r="G251" s="360">
        <f t="shared" si="5"/>
        <v>720000.00000000012</v>
      </c>
      <c r="H251" s="353"/>
    </row>
    <row r="252" spans="2:10" ht="18">
      <c r="C252" s="1148" t="s">
        <v>246</v>
      </c>
      <c r="D252" s="1149"/>
      <c r="E252" s="1149"/>
      <c r="F252" s="1149"/>
      <c r="G252" s="364">
        <f>SUM(G241:G251)</f>
        <v>7628200</v>
      </c>
      <c r="H252" s="353">
        <f>ROUNDUP(G252/D239,-3)</f>
        <v>3179000</v>
      </c>
      <c r="I252" s="341"/>
    </row>
    <row r="253" spans="2:10">
      <c r="G253" s="225"/>
      <c r="H253" s="225"/>
      <c r="I253" s="225"/>
      <c r="J253" s="225"/>
    </row>
    <row r="254" spans="2:10" ht="18">
      <c r="C254" s="257" t="s">
        <v>314</v>
      </c>
      <c r="D254" s="258">
        <f>0.25*0.5*1</f>
        <v>0.125</v>
      </c>
      <c r="E254" s="259" t="s">
        <v>215</v>
      </c>
      <c r="F254" s="260"/>
      <c r="G254" s="261"/>
      <c r="H254" s="284"/>
    </row>
    <row r="255" spans="2:10" ht="15.75">
      <c r="B255" s="339"/>
      <c r="C255" s="266" t="s">
        <v>234</v>
      </c>
      <c r="D255" s="267"/>
      <c r="E255" s="268"/>
      <c r="F255" s="269"/>
      <c r="G255" s="269"/>
      <c r="H255" s="284"/>
    </row>
    <row r="256" spans="2:10" ht="15.75">
      <c r="C256" s="266" t="s">
        <v>219</v>
      </c>
      <c r="D256" s="267">
        <f>D254*6</f>
        <v>0.75</v>
      </c>
      <c r="E256" s="268" t="s">
        <v>220</v>
      </c>
      <c r="F256" s="269">
        <v>55000</v>
      </c>
      <c r="G256" s="269">
        <f t="shared" ref="G256:G267" si="6">F256*D256</f>
        <v>41250</v>
      </c>
      <c r="H256" s="284"/>
    </row>
    <row r="257" spans="1:10" ht="18">
      <c r="C257" s="266" t="s">
        <v>222</v>
      </c>
      <c r="D257" s="267">
        <f>D254*0.54</f>
        <v>6.7500000000000004E-2</v>
      </c>
      <c r="E257" s="268" t="s">
        <v>215</v>
      </c>
      <c r="F257" s="269">
        <v>380000</v>
      </c>
      <c r="G257" s="269">
        <f t="shared" si="6"/>
        <v>25650</v>
      </c>
      <c r="H257" s="284"/>
    </row>
    <row r="258" spans="1:10" ht="20.25">
      <c r="C258" s="266" t="s">
        <v>224</v>
      </c>
      <c r="D258" s="267">
        <f>D254*0.82</f>
        <v>0.10249999999999999</v>
      </c>
      <c r="E258" s="268" t="s">
        <v>215</v>
      </c>
      <c r="F258" s="269">
        <v>310000</v>
      </c>
      <c r="G258" s="269">
        <f t="shared" si="6"/>
        <v>31774.999999999996</v>
      </c>
      <c r="H258" s="284"/>
      <c r="I258" s="341"/>
    </row>
    <row r="259" spans="1:10" ht="15.75">
      <c r="C259" s="266" t="s">
        <v>315</v>
      </c>
      <c r="D259" s="267">
        <f>10/12</f>
        <v>0.83333333333333337</v>
      </c>
      <c r="E259" s="268" t="s">
        <v>20</v>
      </c>
      <c r="F259" s="269">
        <v>172000</v>
      </c>
      <c r="G259" s="269">
        <f t="shared" si="6"/>
        <v>143333.33333333334</v>
      </c>
      <c r="H259" s="284"/>
      <c r="I259" s="225"/>
      <c r="J259" s="225"/>
    </row>
    <row r="260" spans="1:10" ht="15.75">
      <c r="C260" s="266" t="s">
        <v>316</v>
      </c>
      <c r="D260" s="267">
        <v>1.25</v>
      </c>
      <c r="E260" s="268" t="s">
        <v>20</v>
      </c>
      <c r="F260" s="269">
        <v>67000</v>
      </c>
      <c r="G260" s="269">
        <f t="shared" si="6"/>
        <v>83750</v>
      </c>
      <c r="H260" s="284"/>
    </row>
    <row r="261" spans="1:10" ht="15.75">
      <c r="B261" s="339"/>
      <c r="C261" s="266" t="s">
        <v>240</v>
      </c>
      <c r="D261" s="267">
        <f>1/2.88</f>
        <v>0.34722222222222221</v>
      </c>
      <c r="E261" s="268" t="s">
        <v>241</v>
      </c>
      <c r="F261" s="269">
        <v>100000</v>
      </c>
      <c r="G261" s="269">
        <f t="shared" si="6"/>
        <v>34722.222222222219</v>
      </c>
      <c r="H261" s="284"/>
    </row>
    <row r="262" spans="1:10" ht="15.75">
      <c r="B262" s="339"/>
      <c r="C262" s="266" t="s">
        <v>242</v>
      </c>
      <c r="D262" s="267">
        <f>D254*2.5</f>
        <v>0.3125</v>
      </c>
      <c r="E262" s="268" t="s">
        <v>17</v>
      </c>
      <c r="F262" s="269">
        <v>20000</v>
      </c>
      <c r="G262" s="269">
        <f t="shared" si="6"/>
        <v>6250</v>
      </c>
      <c r="H262" s="284"/>
    </row>
    <row r="263" spans="1:10" ht="15.75">
      <c r="B263" s="339"/>
      <c r="C263" s="266" t="s">
        <v>243</v>
      </c>
      <c r="D263" s="267">
        <v>0.04</v>
      </c>
      <c r="E263" s="268" t="s">
        <v>15</v>
      </c>
      <c r="F263" s="269">
        <v>2500000</v>
      </c>
      <c r="G263" s="269">
        <f t="shared" si="6"/>
        <v>100000</v>
      </c>
      <c r="H263" s="284"/>
    </row>
    <row r="264" spans="1:10" ht="15.75">
      <c r="B264" s="339"/>
      <c r="C264" s="266" t="s">
        <v>244</v>
      </c>
      <c r="D264" s="267">
        <f>D254*2</f>
        <v>0.25</v>
      </c>
      <c r="E264" s="268" t="s">
        <v>17</v>
      </c>
      <c r="F264" s="269">
        <v>20000</v>
      </c>
      <c r="G264" s="269">
        <f t="shared" si="6"/>
        <v>5000</v>
      </c>
      <c r="H264" s="284"/>
    </row>
    <row r="265" spans="1:10" ht="15.75">
      <c r="C265" s="266" t="s">
        <v>245</v>
      </c>
      <c r="D265" s="280">
        <f>0.3*0.12*3</f>
        <v>0.10799999999999998</v>
      </c>
      <c r="E265" s="281" t="s">
        <v>14</v>
      </c>
      <c r="F265" s="282">
        <v>20000</v>
      </c>
      <c r="G265" s="282">
        <f t="shared" si="6"/>
        <v>2159.9999999999995</v>
      </c>
      <c r="H265" s="284"/>
    </row>
    <row r="266" spans="1:10" ht="15.75">
      <c r="C266" s="266" t="s">
        <v>228</v>
      </c>
      <c r="D266" s="280">
        <f>(19*D259)+(7.4*D260)</f>
        <v>25.083333333333336</v>
      </c>
      <c r="E266" s="281" t="s">
        <v>17</v>
      </c>
      <c r="F266" s="292">
        <v>3000</v>
      </c>
      <c r="G266" s="282">
        <f t="shared" si="6"/>
        <v>75250</v>
      </c>
      <c r="H266" s="284"/>
    </row>
    <row r="267" spans="1:10" ht="18">
      <c r="A267" s="365"/>
      <c r="B267" s="366"/>
      <c r="C267" s="279" t="s">
        <v>229</v>
      </c>
      <c r="D267" s="280">
        <f>D254*1</f>
        <v>0.125</v>
      </c>
      <c r="E267" s="281" t="s">
        <v>215</v>
      </c>
      <c r="F267" s="292">
        <v>300000</v>
      </c>
      <c r="G267" s="282">
        <f t="shared" si="6"/>
        <v>37500</v>
      </c>
      <c r="H267" s="284"/>
    </row>
    <row r="268" spans="1:10" ht="15.75">
      <c r="A268" s="367"/>
      <c r="B268" s="330"/>
      <c r="C268" s="1146" t="s">
        <v>246</v>
      </c>
      <c r="D268" s="1147"/>
      <c r="E268" s="1147"/>
      <c r="F268" s="1147"/>
      <c r="G268" s="294">
        <f>SUM(G256:G267)</f>
        <v>586640.55555555562</v>
      </c>
      <c r="H268" s="284">
        <f>ROUNDUP(G268/D254,-3)</f>
        <v>4694000</v>
      </c>
    </row>
    <row r="269" spans="1:10">
      <c r="A269" s="367"/>
      <c r="B269" s="330"/>
      <c r="C269" s="265"/>
      <c r="D269" s="265"/>
    </row>
    <row r="270" spans="1:10" ht="18">
      <c r="A270" s="367"/>
      <c r="B270" s="330"/>
      <c r="C270" s="257" t="s">
        <v>317</v>
      </c>
      <c r="D270" s="258">
        <f>0.2*0.35*1</f>
        <v>6.9999999999999993E-2</v>
      </c>
      <c r="E270" s="259" t="s">
        <v>215</v>
      </c>
      <c r="F270" s="260"/>
      <c r="G270" s="261"/>
      <c r="H270" s="284"/>
    </row>
    <row r="271" spans="1:10" ht="15.75">
      <c r="A271" s="367"/>
      <c r="B271" s="330"/>
      <c r="C271" s="266" t="s">
        <v>234</v>
      </c>
      <c r="D271" s="267"/>
      <c r="E271" s="268"/>
      <c r="F271" s="269"/>
      <c r="G271" s="269"/>
      <c r="H271" s="284"/>
    </row>
    <row r="272" spans="1:10" ht="15.75">
      <c r="A272" s="367"/>
      <c r="B272" s="330"/>
      <c r="C272" s="266" t="s">
        <v>219</v>
      </c>
      <c r="D272" s="267">
        <f>D270*6</f>
        <v>0.41999999999999993</v>
      </c>
      <c r="E272" s="268" t="s">
        <v>220</v>
      </c>
      <c r="F272" s="269">
        <v>55000</v>
      </c>
      <c r="G272" s="269">
        <f t="shared" ref="G272:G283" si="7">F272*D272</f>
        <v>23099.999999999996</v>
      </c>
      <c r="H272" s="284"/>
    </row>
    <row r="273" spans="1:10" ht="18">
      <c r="A273" s="367"/>
      <c r="B273" s="330"/>
      <c r="C273" s="266" t="s">
        <v>222</v>
      </c>
      <c r="D273" s="267">
        <f>D270*0.54</f>
        <v>3.78E-2</v>
      </c>
      <c r="E273" s="268" t="s">
        <v>215</v>
      </c>
      <c r="F273" s="269">
        <v>380000</v>
      </c>
      <c r="G273" s="269">
        <f t="shared" si="7"/>
        <v>14364</v>
      </c>
      <c r="H273" s="284"/>
    </row>
    <row r="274" spans="1:10" ht="18">
      <c r="A274" s="367"/>
      <c r="B274" s="330"/>
      <c r="C274" s="266" t="s">
        <v>224</v>
      </c>
      <c r="D274" s="267">
        <f>D270*0.82</f>
        <v>5.7399999999999993E-2</v>
      </c>
      <c r="E274" s="268" t="s">
        <v>215</v>
      </c>
      <c r="F274" s="269">
        <v>310000</v>
      </c>
      <c r="G274" s="269">
        <f t="shared" si="7"/>
        <v>17793.999999999996</v>
      </c>
      <c r="H274" s="284"/>
    </row>
    <row r="275" spans="1:10" ht="18">
      <c r="A275" s="367"/>
      <c r="B275" s="330"/>
      <c r="C275" s="266" t="s">
        <v>315</v>
      </c>
      <c r="D275" s="267">
        <f>6/12</f>
        <v>0.5</v>
      </c>
      <c r="E275" s="268" t="s">
        <v>20</v>
      </c>
      <c r="F275" s="269">
        <v>172000</v>
      </c>
      <c r="G275" s="269">
        <f t="shared" si="7"/>
        <v>86000</v>
      </c>
      <c r="H275" s="284"/>
      <c r="I275" s="341"/>
    </row>
    <row r="276" spans="1:10" ht="15.75">
      <c r="A276" s="367"/>
      <c r="B276" s="330"/>
      <c r="C276" s="266" t="s">
        <v>316</v>
      </c>
      <c r="D276" s="267">
        <f>8/12</f>
        <v>0.66666666666666663</v>
      </c>
      <c r="E276" s="268" t="s">
        <v>20</v>
      </c>
      <c r="F276" s="269">
        <v>67000</v>
      </c>
      <c r="G276" s="269">
        <f t="shared" si="7"/>
        <v>44666.666666666664</v>
      </c>
      <c r="H276" s="284"/>
      <c r="I276" s="368"/>
      <c r="J276" s="368"/>
    </row>
    <row r="277" spans="1:10" ht="15.75">
      <c r="A277" s="367"/>
      <c r="B277" s="330"/>
      <c r="C277" s="266" t="s">
        <v>240</v>
      </c>
      <c r="D277" s="267">
        <f>1/2.88</f>
        <v>0.34722222222222221</v>
      </c>
      <c r="E277" s="268" t="s">
        <v>241</v>
      </c>
      <c r="F277" s="269">
        <v>100000</v>
      </c>
      <c r="G277" s="269">
        <f t="shared" si="7"/>
        <v>34722.222222222219</v>
      </c>
      <c r="H277" s="284"/>
    </row>
    <row r="278" spans="1:10" ht="15.75">
      <c r="A278" s="367"/>
      <c r="B278" s="330"/>
      <c r="C278" s="266" t="s">
        <v>242</v>
      </c>
      <c r="D278" s="267">
        <f>D270*2.5</f>
        <v>0.17499999999999999</v>
      </c>
      <c r="E278" s="268" t="s">
        <v>17</v>
      </c>
      <c r="F278" s="269">
        <v>20000</v>
      </c>
      <c r="G278" s="269">
        <f t="shared" si="7"/>
        <v>3500</v>
      </c>
      <c r="H278" s="284"/>
      <c r="I278" s="369"/>
      <c r="J278" s="369"/>
    </row>
    <row r="279" spans="1:10" ht="15.75">
      <c r="A279" s="367"/>
      <c r="B279" s="330"/>
      <c r="C279" s="266" t="s">
        <v>243</v>
      </c>
      <c r="D279" s="267">
        <v>0.04</v>
      </c>
      <c r="E279" s="268" t="s">
        <v>15</v>
      </c>
      <c r="F279" s="269">
        <v>2500000</v>
      </c>
      <c r="G279" s="269">
        <f t="shared" si="7"/>
        <v>100000</v>
      </c>
      <c r="H279" s="284"/>
    </row>
    <row r="280" spans="1:10" ht="15.75">
      <c r="A280" s="367"/>
      <c r="B280" s="330"/>
      <c r="C280" s="266" t="s">
        <v>244</v>
      </c>
      <c r="D280" s="267">
        <f>D270*2</f>
        <v>0.13999999999999999</v>
      </c>
      <c r="E280" s="268" t="s">
        <v>17</v>
      </c>
      <c r="F280" s="269">
        <v>20000</v>
      </c>
      <c r="G280" s="269">
        <f t="shared" si="7"/>
        <v>2799.9999999999995</v>
      </c>
      <c r="H280" s="284"/>
    </row>
    <row r="281" spans="1:10" ht="15.75">
      <c r="A281" s="367"/>
      <c r="B281" s="330"/>
      <c r="C281" s="266" t="s">
        <v>245</v>
      </c>
      <c r="D281" s="280">
        <f>0.3*0.12*3</f>
        <v>0.10799999999999998</v>
      </c>
      <c r="E281" s="281" t="s">
        <v>14</v>
      </c>
      <c r="F281" s="282">
        <v>20000</v>
      </c>
      <c r="G281" s="282">
        <f t="shared" si="7"/>
        <v>2159.9999999999995</v>
      </c>
      <c r="H281" s="284"/>
    </row>
    <row r="282" spans="1:10" ht="15.75">
      <c r="A282" s="367"/>
      <c r="B282" s="330"/>
      <c r="C282" s="266" t="s">
        <v>228</v>
      </c>
      <c r="D282" s="280">
        <f>(19*D275)+(7.4*D276)</f>
        <v>14.433333333333334</v>
      </c>
      <c r="E282" s="281" t="s">
        <v>17</v>
      </c>
      <c r="F282" s="292">
        <v>3000</v>
      </c>
      <c r="G282" s="282">
        <f t="shared" si="7"/>
        <v>43300</v>
      </c>
      <c r="H282" s="284"/>
    </row>
    <row r="283" spans="1:10" ht="18">
      <c r="A283" s="367"/>
      <c r="B283" s="330"/>
      <c r="C283" s="279" t="s">
        <v>229</v>
      </c>
      <c r="D283" s="280">
        <f>D270*1</f>
        <v>6.9999999999999993E-2</v>
      </c>
      <c r="E283" s="281" t="s">
        <v>215</v>
      </c>
      <c r="F283" s="292">
        <v>300000</v>
      </c>
      <c r="G283" s="282">
        <f t="shared" si="7"/>
        <v>20999.999999999996</v>
      </c>
      <c r="H283" s="284"/>
    </row>
    <row r="284" spans="1:10" ht="15.75">
      <c r="A284" s="367"/>
      <c r="B284" s="330"/>
      <c r="C284" s="1146" t="s">
        <v>246</v>
      </c>
      <c r="D284" s="1147"/>
      <c r="E284" s="1147"/>
      <c r="F284" s="1147"/>
      <c r="G284" s="294">
        <f>SUM(G272:G283)</f>
        <v>393406.88888888888</v>
      </c>
      <c r="H284" s="284">
        <f>ROUNDUP(G284/D270,-3)</f>
        <v>5621000</v>
      </c>
    </row>
    <row r="285" spans="1:10" ht="17.25">
      <c r="A285" s="367"/>
      <c r="B285" s="330"/>
      <c r="C285" s="265"/>
      <c r="D285" s="265"/>
      <c r="I285" s="341"/>
    </row>
    <row r="286" spans="1:10" ht="15.75">
      <c r="A286" s="367"/>
      <c r="B286" s="330"/>
      <c r="C286" s="370" t="s">
        <v>318</v>
      </c>
      <c r="D286" s="255"/>
      <c r="E286" s="371"/>
      <c r="F286" s="255"/>
      <c r="G286" s="372"/>
      <c r="H286" s="373"/>
      <c r="I286" s="255"/>
      <c r="J286" s="369"/>
    </row>
    <row r="287" spans="1:10">
      <c r="A287" s="367"/>
      <c r="B287" s="330"/>
      <c r="C287" s="256" t="s">
        <v>319</v>
      </c>
      <c r="D287" s="256"/>
      <c r="E287" s="323">
        <f>(4*12)/12</f>
        <v>4</v>
      </c>
      <c r="F287" s="374">
        <f>D288*14000</f>
        <v>12166000</v>
      </c>
      <c r="G287" s="324">
        <f>F287*E287</f>
        <v>48664000</v>
      </c>
      <c r="H287" s="375">
        <f>E287*D288</f>
        <v>3476</v>
      </c>
      <c r="I287" s="255"/>
    </row>
    <row r="288" spans="1:10">
      <c r="A288" s="367"/>
      <c r="B288" s="330"/>
      <c r="C288" s="256"/>
      <c r="D288" s="256">
        <v>869</v>
      </c>
      <c r="E288" s="323">
        <f>E287</f>
        <v>4</v>
      </c>
      <c r="F288" s="324">
        <v>4000</v>
      </c>
      <c r="G288" s="324">
        <f>F288*E288*D288</f>
        <v>13904000</v>
      </c>
      <c r="H288" s="376"/>
      <c r="I288" s="255"/>
    </row>
    <row r="289" spans="1:10" ht="15.75">
      <c r="A289" s="367"/>
      <c r="B289" s="330"/>
      <c r="C289" s="256"/>
      <c r="D289" s="256"/>
      <c r="E289" s="323"/>
      <c r="F289" s="324"/>
      <c r="G289" s="324">
        <f>SUM(G287:G288)</f>
        <v>62568000</v>
      </c>
      <c r="H289" s="376"/>
      <c r="I289" s="235">
        <f>G289/H287</f>
        <v>18000</v>
      </c>
    </row>
    <row r="290" spans="1:10" ht="15.75">
      <c r="A290" s="367"/>
      <c r="B290" s="330"/>
      <c r="C290" s="377" t="s">
        <v>318</v>
      </c>
      <c r="D290" s="255"/>
      <c r="E290" s="371"/>
      <c r="F290" s="255"/>
      <c r="G290" s="372"/>
      <c r="H290" s="373"/>
      <c r="I290" s="255"/>
    </row>
    <row r="291" spans="1:10">
      <c r="A291" s="367"/>
      <c r="B291" s="330"/>
      <c r="C291" s="256" t="s">
        <v>320</v>
      </c>
      <c r="D291" s="256"/>
      <c r="E291" s="323">
        <f>(5*3)/12</f>
        <v>1.25</v>
      </c>
      <c r="F291" s="374">
        <f>D292*14000</f>
        <v>12166000</v>
      </c>
      <c r="G291" s="324">
        <f>F291*E291</f>
        <v>15207500</v>
      </c>
      <c r="H291" s="375">
        <f>E291*D292</f>
        <v>1086.25</v>
      </c>
      <c r="I291" s="255"/>
    </row>
    <row r="292" spans="1:10">
      <c r="A292" s="367"/>
      <c r="B292" s="330"/>
      <c r="C292" s="256"/>
      <c r="D292" s="256">
        <v>869</v>
      </c>
      <c r="E292" s="323">
        <f>E291</f>
        <v>1.25</v>
      </c>
      <c r="F292" s="324">
        <v>4000</v>
      </c>
      <c r="G292" s="324">
        <f>F292*E292*D292</f>
        <v>4345000</v>
      </c>
      <c r="H292" s="376"/>
      <c r="I292" s="255"/>
    </row>
    <row r="293" spans="1:10" ht="15.75">
      <c r="A293" s="367"/>
      <c r="B293" s="330"/>
      <c r="C293" s="256"/>
      <c r="D293" s="256"/>
      <c r="E293" s="323"/>
      <c r="F293" s="324"/>
      <c r="G293" s="324">
        <f>SUM(G291:G292)</f>
        <v>19552500</v>
      </c>
      <c r="H293" s="376"/>
      <c r="I293" s="235">
        <f>G293/H291</f>
        <v>18000</v>
      </c>
      <c r="J293" s="369"/>
    </row>
    <row r="294" spans="1:10">
      <c r="A294" s="367"/>
      <c r="B294" s="330"/>
      <c r="C294" s="265"/>
      <c r="D294" s="265"/>
    </row>
    <row r="295" spans="1:10">
      <c r="B295" s="265"/>
      <c r="C295" s="256" t="s">
        <v>321</v>
      </c>
      <c r="D295" s="256"/>
      <c r="E295" s="323">
        <f>69.093/12</f>
        <v>5.7577500000000006</v>
      </c>
      <c r="F295" s="374">
        <f>D296*14000</f>
        <v>4970000</v>
      </c>
      <c r="G295" s="324">
        <f>F295*E295</f>
        <v>28616017.500000004</v>
      </c>
      <c r="H295" s="375">
        <f>E295*D296</f>
        <v>2044.0012500000003</v>
      </c>
      <c r="I295" s="255"/>
    </row>
    <row r="296" spans="1:10">
      <c r="C296" s="256"/>
      <c r="D296" s="256">
        <v>355</v>
      </c>
      <c r="E296" s="323">
        <f>E295</f>
        <v>5.7577500000000006</v>
      </c>
      <c r="F296" s="324">
        <v>4000</v>
      </c>
      <c r="G296" s="324">
        <f>F296*E296*D296</f>
        <v>8176005.0000000009</v>
      </c>
      <c r="H296" s="376"/>
      <c r="I296" s="255"/>
      <c r="J296" s="368"/>
    </row>
    <row r="297" spans="1:10" ht="15.75">
      <c r="C297" s="256"/>
      <c r="D297" s="256"/>
      <c r="E297" s="323"/>
      <c r="F297" s="324"/>
      <c r="G297" s="324">
        <f>SUM(G295:G296)</f>
        <v>36792022.500000007</v>
      </c>
      <c r="H297" s="376"/>
      <c r="I297" s="235">
        <f>G297/H295</f>
        <v>18000</v>
      </c>
    </row>
    <row r="299" spans="1:10">
      <c r="A299" s="378"/>
      <c r="B299" s="366"/>
      <c r="C299" s="256" t="s">
        <v>322</v>
      </c>
      <c r="D299" s="256"/>
      <c r="E299" s="323">
        <f>71.17/12</f>
        <v>5.9308333333333332</v>
      </c>
      <c r="F299" s="374">
        <f>D300*14000</f>
        <v>4970000</v>
      </c>
      <c r="G299" s="324">
        <f>F299*E299</f>
        <v>29476241.666666664</v>
      </c>
      <c r="H299" s="375">
        <f>E299*D300</f>
        <v>2105.4458333333332</v>
      </c>
      <c r="I299" s="255"/>
    </row>
    <row r="300" spans="1:10">
      <c r="A300" s="378"/>
      <c r="B300" s="366"/>
      <c r="C300" s="256"/>
      <c r="D300" s="256">
        <v>355</v>
      </c>
      <c r="E300" s="323">
        <f>E299</f>
        <v>5.9308333333333332</v>
      </c>
      <c r="F300" s="324">
        <v>4000</v>
      </c>
      <c r="G300" s="324">
        <f>F300*E300*D300</f>
        <v>8421783.3333333321</v>
      </c>
      <c r="H300" s="376"/>
      <c r="I300" s="255"/>
    </row>
    <row r="301" spans="1:10" ht="15.75">
      <c r="A301" s="378"/>
      <c r="B301" s="366"/>
      <c r="C301" s="256"/>
      <c r="D301" s="256"/>
      <c r="E301" s="323"/>
      <c r="F301" s="324"/>
      <c r="G301" s="324">
        <f>SUM(G299:G300)</f>
        <v>37898025</v>
      </c>
      <c r="H301" s="376"/>
      <c r="I301" s="235">
        <f>G301/H299</f>
        <v>18000</v>
      </c>
    </row>
    <row r="302" spans="1:10">
      <c r="A302" s="378"/>
      <c r="B302" s="366"/>
      <c r="C302" s="256"/>
      <c r="D302" s="265"/>
      <c r="E302" s="265"/>
      <c r="F302" s="265"/>
    </row>
    <row r="303" spans="1:10">
      <c r="B303" s="330"/>
      <c r="C303" s="256" t="s">
        <v>323</v>
      </c>
      <c r="D303" s="256"/>
      <c r="E303" s="323">
        <f>63.5/12</f>
        <v>5.291666666666667</v>
      </c>
      <c r="F303" s="374">
        <f>D304*14000</f>
        <v>6160000</v>
      </c>
      <c r="G303" s="324">
        <f>F303*E303</f>
        <v>32596666.666666668</v>
      </c>
      <c r="H303" s="375">
        <f>E303*D304</f>
        <v>2328.3333333333335</v>
      </c>
      <c r="I303" s="255"/>
    </row>
    <row r="304" spans="1:10">
      <c r="B304" s="330"/>
      <c r="C304" s="256"/>
      <c r="D304" s="256">
        <v>440</v>
      </c>
      <c r="E304" s="323">
        <f>E303</f>
        <v>5.291666666666667</v>
      </c>
      <c r="F304" s="324">
        <v>4000</v>
      </c>
      <c r="G304" s="324">
        <f>F304*E304*D304</f>
        <v>9313333.333333334</v>
      </c>
      <c r="H304" s="376"/>
      <c r="I304" s="255"/>
    </row>
    <row r="305" spans="2:10" ht="15.75">
      <c r="B305" s="330"/>
      <c r="C305" s="256"/>
      <c r="D305" s="256"/>
      <c r="E305" s="323"/>
      <c r="F305" s="324"/>
      <c r="G305" s="324">
        <f>SUM(G303:G304)</f>
        <v>41910000</v>
      </c>
      <c r="H305" s="376"/>
      <c r="I305" s="235">
        <f>G305/H303</f>
        <v>18000</v>
      </c>
    </row>
    <row r="306" spans="2:10">
      <c r="B306" s="330"/>
      <c r="C306" s="256"/>
      <c r="D306" s="265"/>
      <c r="E306" s="265"/>
      <c r="F306" s="265"/>
    </row>
    <row r="307" spans="2:10">
      <c r="B307" s="343"/>
      <c r="C307" s="256" t="s">
        <v>324</v>
      </c>
      <c r="D307" s="256"/>
      <c r="E307" s="323">
        <f>6/12</f>
        <v>0.5</v>
      </c>
      <c r="F307" s="374">
        <f>D308*14000</f>
        <v>8330000</v>
      </c>
      <c r="G307" s="324">
        <f>F307*E307</f>
        <v>4165000</v>
      </c>
      <c r="H307" s="375">
        <f>E307*D308</f>
        <v>297.5</v>
      </c>
      <c r="I307" s="255"/>
    </row>
    <row r="308" spans="2:10">
      <c r="B308" s="343"/>
      <c r="C308" s="256"/>
      <c r="D308" s="256">
        <v>595</v>
      </c>
      <c r="E308" s="323">
        <f>E307</f>
        <v>0.5</v>
      </c>
      <c r="F308" s="324">
        <v>4000</v>
      </c>
      <c r="G308" s="324">
        <f>F308*E308*D308</f>
        <v>1190000</v>
      </c>
      <c r="H308" s="376"/>
      <c r="I308" s="255"/>
    </row>
    <row r="309" spans="2:10" ht="15.75">
      <c r="B309" s="343"/>
      <c r="C309" s="256"/>
      <c r="D309" s="256"/>
      <c r="E309" s="323"/>
      <c r="F309" s="324"/>
      <c r="G309" s="324">
        <f>SUM(G307:G308)</f>
        <v>5355000</v>
      </c>
      <c r="H309" s="376"/>
      <c r="I309" s="235">
        <f>G309/H307</f>
        <v>18000</v>
      </c>
    </row>
    <row r="310" spans="2:10">
      <c r="B310" s="343"/>
      <c r="C310" s="256"/>
      <c r="D310" s="265"/>
      <c r="E310" s="265"/>
      <c r="F310" s="265"/>
    </row>
    <row r="311" spans="2:10">
      <c r="B311" s="330"/>
      <c r="C311" s="256" t="s">
        <v>325</v>
      </c>
      <c r="D311" s="256"/>
      <c r="E311" s="323">
        <f>3.05/12</f>
        <v>0.25416666666666665</v>
      </c>
      <c r="F311" s="374">
        <f>D312*14000</f>
        <v>11088000</v>
      </c>
      <c r="G311" s="324">
        <f>F311*E311</f>
        <v>2818200</v>
      </c>
      <c r="H311" s="375">
        <f>E311*D312</f>
        <v>201.29999999999998</v>
      </c>
      <c r="I311" s="255"/>
      <c r="J311" s="265"/>
    </row>
    <row r="312" spans="2:10">
      <c r="B312" s="330"/>
      <c r="C312" s="265"/>
      <c r="D312" s="256">
        <v>792</v>
      </c>
      <c r="E312" s="323">
        <f>E311</f>
        <v>0.25416666666666665</v>
      </c>
      <c r="F312" s="324">
        <v>4000</v>
      </c>
      <c r="G312" s="324">
        <f>F312*E312*D312</f>
        <v>805200</v>
      </c>
      <c r="H312" s="376"/>
      <c r="I312" s="255"/>
      <c r="J312" s="265"/>
    </row>
    <row r="313" spans="2:10" ht="15.75">
      <c r="B313" s="330"/>
      <c r="C313" s="265"/>
      <c r="D313" s="256"/>
      <c r="E313" s="323"/>
      <c r="F313" s="324"/>
      <c r="G313" s="324">
        <f>SUM(G311:G312)</f>
        <v>3623400</v>
      </c>
      <c r="H313" s="376"/>
      <c r="I313" s="235">
        <f>G313/H311</f>
        <v>18000</v>
      </c>
      <c r="J313" s="265"/>
    </row>
    <row r="314" spans="2:10">
      <c r="B314" s="330"/>
      <c r="C314" s="265"/>
      <c r="D314" s="265"/>
      <c r="E314" s="379"/>
      <c r="F314" s="380"/>
      <c r="G314" s="340"/>
      <c r="H314" s="340"/>
      <c r="J314" s="265"/>
    </row>
    <row r="315" spans="2:10">
      <c r="B315" s="343"/>
      <c r="C315" s="381" t="s">
        <v>326</v>
      </c>
      <c r="D315" s="265"/>
      <c r="E315" s="265"/>
      <c r="J315" s="265"/>
    </row>
    <row r="316" spans="2:10" ht="17.25">
      <c r="B316" s="330"/>
      <c r="C316" s="256" t="s">
        <v>322</v>
      </c>
      <c r="D316" s="256"/>
      <c r="E316" s="323">
        <f>(17*5)/12</f>
        <v>7.083333333333333</v>
      </c>
      <c r="F316" s="374">
        <f>D317*14000</f>
        <v>4970000</v>
      </c>
      <c r="G316" s="324">
        <f>F316*E316</f>
        <v>35204166.666666664</v>
      </c>
      <c r="H316" s="375">
        <f>E316*D317</f>
        <v>2514.583333333333</v>
      </c>
      <c r="I316" s="255"/>
      <c r="J316" s="264"/>
    </row>
    <row r="317" spans="2:10" ht="17.25">
      <c r="B317" s="330"/>
      <c r="C317" s="256"/>
      <c r="D317" s="256">
        <v>355</v>
      </c>
      <c r="E317" s="323">
        <f>E316</f>
        <v>7.083333333333333</v>
      </c>
      <c r="F317" s="324">
        <v>4000</v>
      </c>
      <c r="G317" s="324">
        <f>F317*E317*D317</f>
        <v>10058333.333333332</v>
      </c>
      <c r="H317" s="376"/>
      <c r="I317" s="255"/>
      <c r="J317" s="264"/>
    </row>
    <row r="318" spans="2:10" ht="15.75">
      <c r="B318" s="330"/>
      <c r="C318" s="256"/>
      <c r="D318" s="256"/>
      <c r="E318" s="323"/>
      <c r="F318" s="324"/>
      <c r="G318" s="324">
        <f>SUM(G316:G317)</f>
        <v>45262500</v>
      </c>
      <c r="H318" s="376"/>
      <c r="I318" s="235">
        <f>G318/H316</f>
        <v>18000.000000000004</v>
      </c>
      <c r="J318" s="265"/>
    </row>
    <row r="319" spans="2:10" ht="17.25">
      <c r="B319" s="330"/>
      <c r="C319" s="265"/>
      <c r="D319" s="265"/>
      <c r="E319" s="265"/>
      <c r="F319" s="265"/>
      <c r="G319" s="382"/>
      <c r="H319" s="382"/>
    </row>
    <row r="320" spans="2:10">
      <c r="B320" s="330"/>
      <c r="C320" s="256" t="s">
        <v>327</v>
      </c>
      <c r="D320" s="256"/>
      <c r="E320" s="323">
        <f>(19.5*3)/12</f>
        <v>4.875</v>
      </c>
      <c r="F320" s="374">
        <f>D321*14000</f>
        <v>3584000</v>
      </c>
      <c r="G320" s="324">
        <f>F320*E320</f>
        <v>17472000</v>
      </c>
      <c r="H320" s="375">
        <f>E320*D321</f>
        <v>1248</v>
      </c>
      <c r="I320" s="255"/>
    </row>
    <row r="321" spans="1:11">
      <c r="B321" s="330"/>
      <c r="C321" s="265"/>
      <c r="D321" s="256">
        <v>256</v>
      </c>
      <c r="E321" s="323">
        <f>E320</f>
        <v>4.875</v>
      </c>
      <c r="F321" s="324">
        <v>4000</v>
      </c>
      <c r="G321" s="324">
        <f>F321*E321*D321</f>
        <v>4992000</v>
      </c>
      <c r="H321" s="376"/>
      <c r="I321" s="255"/>
    </row>
    <row r="322" spans="1:11" ht="15.75">
      <c r="B322" s="330"/>
      <c r="C322" s="265"/>
      <c r="D322" s="256"/>
      <c r="E322" s="323"/>
      <c r="F322" s="324"/>
      <c r="G322" s="324">
        <f>SUM(G320:G321)</f>
        <v>22464000</v>
      </c>
      <c r="H322" s="376"/>
      <c r="I322" s="235">
        <f>G322/H320</f>
        <v>18000</v>
      </c>
    </row>
    <row r="323" spans="1:11">
      <c r="B323" s="343"/>
      <c r="C323" s="265"/>
      <c r="D323" s="265"/>
      <c r="E323" s="265"/>
      <c r="F323" s="265"/>
    </row>
    <row r="324" spans="1:11">
      <c r="B324" s="330"/>
      <c r="C324" s="383" t="s">
        <v>328</v>
      </c>
      <c r="D324" s="383"/>
      <c r="E324" s="384">
        <f>(18*19.5)/6</f>
        <v>58.5</v>
      </c>
      <c r="F324" s="374">
        <f>D325*14000</f>
        <v>568400</v>
      </c>
      <c r="G324" s="374">
        <f>F324*E324</f>
        <v>33251400</v>
      </c>
      <c r="H324" s="375">
        <f>E324*D325</f>
        <v>2375.1</v>
      </c>
      <c r="I324" s="255"/>
    </row>
    <row r="325" spans="1:11">
      <c r="A325" s="367"/>
      <c r="B325" s="330"/>
      <c r="C325" s="383"/>
      <c r="D325" s="383">
        <v>40.6</v>
      </c>
      <c r="E325" s="384">
        <f>E324</f>
        <v>58.5</v>
      </c>
      <c r="F325" s="374">
        <v>4000</v>
      </c>
      <c r="G325" s="374">
        <f>F325*E325*D325</f>
        <v>9500400</v>
      </c>
      <c r="H325" s="376"/>
      <c r="I325" s="255"/>
      <c r="K325" s="225"/>
    </row>
    <row r="326" spans="1:11" ht="15.75">
      <c r="A326" s="367"/>
      <c r="B326" s="330"/>
      <c r="C326" s="383"/>
      <c r="D326" s="383"/>
      <c r="E326" s="384"/>
      <c r="F326" s="383"/>
      <c r="G326" s="374">
        <f>SUM(G324:G325)</f>
        <v>42751800</v>
      </c>
      <c r="H326" s="376"/>
      <c r="I326" s="235">
        <f>G326/H324</f>
        <v>18000</v>
      </c>
    </row>
    <row r="327" spans="1:11">
      <c r="A327" s="367"/>
      <c r="B327" s="330"/>
    </row>
    <row r="328" spans="1:11" ht="15.75">
      <c r="A328" s="367"/>
      <c r="B328" s="330"/>
      <c r="C328" s="385" t="s">
        <v>329</v>
      </c>
      <c r="D328" s="386" t="s">
        <v>330</v>
      </c>
      <c r="E328" s="387">
        <v>0.12</v>
      </c>
      <c r="F328" s="388"/>
      <c r="G328" s="388"/>
      <c r="H328" s="389"/>
      <c r="I328" s="340"/>
      <c r="J328" s="340"/>
      <c r="K328" s="340"/>
    </row>
    <row r="329" spans="1:11" ht="15.75">
      <c r="A329" s="367"/>
      <c r="B329" s="330"/>
      <c r="C329" s="390" t="s">
        <v>331</v>
      </c>
      <c r="D329" s="391" t="s">
        <v>14</v>
      </c>
      <c r="E329" s="387">
        <f>0.52*E328</f>
        <v>6.2399999999999997E-2</v>
      </c>
      <c r="F329" s="388">
        <v>380000</v>
      </c>
      <c r="G329" s="388">
        <f t="shared" ref="G329:G335" si="8">F329*E329</f>
        <v>23712</v>
      </c>
      <c r="H329" s="389"/>
      <c r="I329" s="392"/>
      <c r="J329" s="392"/>
      <c r="K329" s="340"/>
    </row>
    <row r="330" spans="1:11" ht="18">
      <c r="A330" s="367"/>
      <c r="B330" s="330"/>
      <c r="C330" s="390" t="s">
        <v>332</v>
      </c>
      <c r="D330" s="391" t="s">
        <v>15</v>
      </c>
      <c r="E330" s="387">
        <f>0.84*E328</f>
        <v>0.10079999999999999</v>
      </c>
      <c r="F330" s="388">
        <v>300000</v>
      </c>
      <c r="G330" s="388">
        <f t="shared" si="8"/>
        <v>30239.999999999996</v>
      </c>
      <c r="H330" s="389"/>
      <c r="J330" s="368"/>
      <c r="K330" s="382"/>
    </row>
    <row r="331" spans="1:11" ht="15.75">
      <c r="A331" s="367"/>
      <c r="C331" s="393" t="s">
        <v>333</v>
      </c>
      <c r="D331" s="394" t="s">
        <v>220</v>
      </c>
      <c r="E331" s="395">
        <f>6*E328</f>
        <v>0.72</v>
      </c>
      <c r="F331" s="396">
        <v>55000</v>
      </c>
      <c r="G331" s="396">
        <f t="shared" si="8"/>
        <v>39600</v>
      </c>
      <c r="H331" s="389"/>
      <c r="K331" s="225"/>
    </row>
    <row r="332" spans="1:11" ht="15.75">
      <c r="A332" s="367"/>
      <c r="B332" s="330"/>
      <c r="C332" s="397" t="s">
        <v>334</v>
      </c>
      <c r="D332" s="398" t="s">
        <v>241</v>
      </c>
      <c r="E332" s="399">
        <f>1/10.8</f>
        <v>9.2592592592592587E-2</v>
      </c>
      <c r="F332" s="399">
        <v>530000</v>
      </c>
      <c r="G332" s="400">
        <f t="shared" si="8"/>
        <v>49074.074074074073</v>
      </c>
      <c r="H332" s="389"/>
      <c r="K332" s="368"/>
    </row>
    <row r="333" spans="1:11" ht="15.75">
      <c r="A333" s="367"/>
      <c r="B333" s="330"/>
      <c r="C333" s="389" t="s">
        <v>335</v>
      </c>
      <c r="D333" s="401" t="s">
        <v>14</v>
      </c>
      <c r="E333" s="389">
        <v>1</v>
      </c>
      <c r="F333" s="389">
        <v>115000</v>
      </c>
      <c r="G333" s="400">
        <f t="shared" si="8"/>
        <v>115000</v>
      </c>
      <c r="H333" s="389"/>
      <c r="K333" s="368"/>
    </row>
    <row r="334" spans="1:11" ht="15.75">
      <c r="A334" s="367"/>
      <c r="B334" s="330"/>
      <c r="C334" s="389" t="s">
        <v>336</v>
      </c>
      <c r="D334" s="401" t="s">
        <v>337</v>
      </c>
      <c r="E334" s="389">
        <v>0.5</v>
      </c>
      <c r="F334" s="389">
        <v>120000</v>
      </c>
      <c r="G334" s="400">
        <f t="shared" si="8"/>
        <v>60000</v>
      </c>
      <c r="H334" s="389"/>
      <c r="K334" s="368"/>
    </row>
    <row r="335" spans="1:11" ht="18">
      <c r="A335" s="367"/>
      <c r="B335" s="330"/>
      <c r="C335" s="402" t="s">
        <v>229</v>
      </c>
      <c r="D335" s="403" t="s">
        <v>15</v>
      </c>
      <c r="E335" s="404">
        <f>E328</f>
        <v>0.12</v>
      </c>
      <c r="F335" s="405">
        <v>300000</v>
      </c>
      <c r="G335" s="406">
        <f t="shared" si="8"/>
        <v>36000</v>
      </c>
      <c r="H335" s="407"/>
      <c r="K335" s="368"/>
    </row>
    <row r="336" spans="1:11" ht="15.75">
      <c r="A336" s="367"/>
      <c r="B336" s="330"/>
      <c r="C336" s="389"/>
      <c r="D336" s="389"/>
      <c r="E336" s="389"/>
      <c r="F336" s="389"/>
      <c r="G336" s="407">
        <f>SUM(G329:G335)</f>
        <v>353626.07407407404</v>
      </c>
      <c r="H336" s="407">
        <f>ROUNDUP(G336/E328,-3)</f>
        <v>2947000</v>
      </c>
      <c r="K336" s="368"/>
    </row>
    <row r="337" spans="1:13">
      <c r="A337" s="367"/>
      <c r="B337" s="330"/>
    </row>
    <row r="338" spans="1:13" ht="15.75">
      <c r="A338" s="367"/>
      <c r="B338" s="330"/>
      <c r="C338" s="385" t="s">
        <v>329</v>
      </c>
      <c r="D338" s="386" t="s">
        <v>330</v>
      </c>
      <c r="E338" s="387">
        <v>0.12</v>
      </c>
      <c r="F338" s="388"/>
      <c r="G338" s="388"/>
      <c r="H338" s="389"/>
    </row>
    <row r="339" spans="1:13" ht="15.75">
      <c r="A339" s="367"/>
      <c r="B339" s="343"/>
      <c r="C339" s="390" t="s">
        <v>331</v>
      </c>
      <c r="D339" s="391" t="s">
        <v>14</v>
      </c>
      <c r="E339" s="387">
        <f>0.52*E338</f>
        <v>6.2399999999999997E-2</v>
      </c>
      <c r="F339" s="388">
        <v>380000</v>
      </c>
      <c r="G339" s="388">
        <f>F339*E339</f>
        <v>23712</v>
      </c>
      <c r="H339" s="389"/>
    </row>
    <row r="340" spans="1:13" ht="15.75">
      <c r="A340" s="367"/>
      <c r="B340" s="330"/>
      <c r="C340" s="390" t="s">
        <v>332</v>
      </c>
      <c r="D340" s="391" t="s">
        <v>15</v>
      </c>
      <c r="E340" s="387">
        <f>0.84*E338</f>
        <v>0.10079999999999999</v>
      </c>
      <c r="F340" s="388">
        <v>300000</v>
      </c>
      <c r="G340" s="388">
        <f>F340*E340</f>
        <v>30239.999999999996</v>
      </c>
      <c r="H340" s="389"/>
    </row>
    <row r="341" spans="1:13" ht="18">
      <c r="A341" s="367"/>
      <c r="B341" s="330"/>
      <c r="C341" s="393" t="s">
        <v>333</v>
      </c>
      <c r="D341" s="394" t="s">
        <v>15</v>
      </c>
      <c r="E341" s="395">
        <f>6*E338</f>
        <v>0.72</v>
      </c>
      <c r="F341" s="396">
        <v>55000</v>
      </c>
      <c r="G341" s="396">
        <f>F341*E341</f>
        <v>39600</v>
      </c>
      <c r="H341" s="389"/>
      <c r="J341" s="341"/>
    </row>
    <row r="342" spans="1:13" ht="15.75">
      <c r="A342" s="367"/>
      <c r="B342" s="330"/>
      <c r="C342" s="397" t="s">
        <v>338</v>
      </c>
      <c r="D342" s="398" t="s">
        <v>241</v>
      </c>
      <c r="E342" s="399">
        <f>1/10.8</f>
        <v>9.2592592592592587E-2</v>
      </c>
      <c r="F342" s="399">
        <v>530000</v>
      </c>
      <c r="G342" s="400">
        <f>F342*E342</f>
        <v>49074.074074074073</v>
      </c>
      <c r="H342" s="389"/>
      <c r="J342" s="368"/>
    </row>
    <row r="343" spans="1:13" ht="18">
      <c r="A343" s="367"/>
      <c r="B343" s="330"/>
      <c r="C343" s="402" t="s">
        <v>229</v>
      </c>
      <c r="D343" s="403" t="s">
        <v>15</v>
      </c>
      <c r="E343" s="404">
        <f>E338</f>
        <v>0.12</v>
      </c>
      <c r="F343" s="405">
        <v>300000</v>
      </c>
      <c r="G343" s="406">
        <f>F343*E343</f>
        <v>36000</v>
      </c>
      <c r="H343" s="389"/>
    </row>
    <row r="344" spans="1:13" ht="15.75">
      <c r="A344" s="367"/>
      <c r="B344" s="330"/>
      <c r="C344" s="408"/>
      <c r="D344" s="391"/>
      <c r="E344" s="387"/>
      <c r="F344" s="409"/>
      <c r="G344" s="410">
        <f>SUM(G339:G343)</f>
        <v>178626.07407407407</v>
      </c>
      <c r="H344" s="407">
        <f>ROUNDUP(G344/E338,-3)</f>
        <v>1489000</v>
      </c>
    </row>
    <row r="345" spans="1:13">
      <c r="A345" s="367"/>
      <c r="B345" s="330"/>
      <c r="J345" s="225"/>
      <c r="K345" s="225"/>
      <c r="L345" s="225"/>
      <c r="M345" s="411"/>
    </row>
    <row r="346" spans="1:13">
      <c r="A346" s="367"/>
      <c r="B346" s="343"/>
    </row>
    <row r="347" spans="1:13">
      <c r="A347" s="367"/>
      <c r="B347" s="330"/>
    </row>
    <row r="348" spans="1:13">
      <c r="B348" s="330"/>
    </row>
    <row r="349" spans="1:13">
      <c r="B349" s="330"/>
    </row>
    <row r="350" spans="1:13">
      <c r="B350" s="330"/>
      <c r="J350" s="225"/>
      <c r="K350" s="225"/>
      <c r="L350" s="225"/>
      <c r="M350" s="411"/>
    </row>
    <row r="354" spans="9:12" ht="17.25">
      <c r="K354" s="341"/>
    </row>
    <row r="356" spans="9:12">
      <c r="J356" s="225"/>
      <c r="K356" s="225"/>
    </row>
    <row r="361" spans="9:12" ht="17.25">
      <c r="K361" s="341"/>
    </row>
    <row r="362" spans="9:12">
      <c r="J362" s="225"/>
      <c r="K362" s="225"/>
    </row>
    <row r="363" spans="9:12">
      <c r="I363" s="412"/>
      <c r="J363" s="413"/>
      <c r="K363" s="412"/>
      <c r="L363" s="413"/>
    </row>
    <row r="365" spans="9:12">
      <c r="J365" s="225"/>
    </row>
    <row r="368" spans="9:12" ht="17.25">
      <c r="K368" s="341"/>
    </row>
    <row r="369" spans="9:13">
      <c r="J369" s="225"/>
      <c r="K369" s="225"/>
    </row>
    <row r="370" spans="9:13">
      <c r="I370" s="412"/>
      <c r="J370" s="413"/>
      <c r="K370" s="412"/>
      <c r="L370" s="412"/>
      <c r="M370" s="411"/>
    </row>
    <row r="374" spans="9:13">
      <c r="J374" s="225"/>
    </row>
    <row r="375" spans="9:13" ht="17.25">
      <c r="J375" s="225"/>
      <c r="K375" s="341"/>
    </row>
    <row r="376" spans="9:13">
      <c r="J376" s="225"/>
      <c r="K376" s="225"/>
    </row>
    <row r="379" spans="9:13" ht="17.25">
      <c r="K379" s="341"/>
    </row>
    <row r="380" spans="9:13">
      <c r="J380" s="225"/>
      <c r="K380" s="225"/>
    </row>
    <row r="381" spans="9:13">
      <c r="I381" s="412"/>
      <c r="J381" s="413"/>
      <c r="K381" s="412"/>
      <c r="L381" s="412"/>
      <c r="M381" s="411"/>
    </row>
    <row r="383" spans="9:13">
      <c r="J383" s="225"/>
    </row>
    <row r="384" spans="9:13">
      <c r="J384" s="225"/>
    </row>
    <row r="385" spans="9:13">
      <c r="J385" s="225"/>
      <c r="K385" s="225"/>
    </row>
    <row r="387" spans="9:13" ht="17.25">
      <c r="K387" s="341"/>
    </row>
    <row r="388" spans="9:13">
      <c r="J388" s="225"/>
      <c r="K388" s="225"/>
    </row>
    <row r="389" spans="9:13">
      <c r="I389" s="412"/>
      <c r="J389" s="413"/>
      <c r="K389" s="412"/>
      <c r="L389" s="412"/>
      <c r="M389" s="411"/>
    </row>
  </sheetData>
  <mergeCells count="7">
    <mergeCell ref="C284:F284"/>
    <mergeCell ref="C40:F40"/>
    <mergeCell ref="C57:F57"/>
    <mergeCell ref="C73:F73"/>
    <mergeCell ref="C237:F237"/>
    <mergeCell ref="C252:F252"/>
    <mergeCell ref="C268:F268"/>
  </mergeCells>
  <pageMargins left="0.69930555555555596" right="0.69930555555555596" top="0.75" bottom="0.75" header="0.3" footer="0.3"/>
  <pageSetup paperSize="9" orientation="portrait" verticalDpi="300" r:id="rId1"/>
  <headerFooter alignWithMargins="0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DC7773-25CA-4C70-BDBF-A701C0B2264F}">
  <dimension ref="A1:O476"/>
  <sheetViews>
    <sheetView workbookViewId="0"/>
  </sheetViews>
  <sheetFormatPr defaultColWidth="9" defaultRowHeight="15"/>
  <cols>
    <col min="1" max="1" width="6.7109375" style="226" customWidth="1"/>
    <col min="2" max="2" width="7.85546875" style="223" customWidth="1"/>
    <col min="3" max="3" width="38.7109375" style="223" customWidth="1"/>
    <col min="4" max="5" width="9" style="223"/>
    <col min="6" max="6" width="12.42578125" style="223" customWidth="1"/>
    <col min="7" max="7" width="14.7109375" style="223" customWidth="1"/>
    <col min="8" max="8" width="15.7109375" style="223" customWidth="1"/>
    <col min="9" max="9" width="11.85546875" style="223" customWidth="1"/>
    <col min="10" max="10" width="35.42578125" style="223" customWidth="1"/>
    <col min="11" max="11" width="12.7109375" style="223" customWidth="1"/>
    <col min="12" max="12" width="9" style="223"/>
    <col min="13" max="13" width="13.7109375" style="485" customWidth="1"/>
    <col min="14" max="14" width="17.140625" style="226" customWidth="1"/>
    <col min="15" max="15" width="13.28515625" style="226" bestFit="1" customWidth="1"/>
    <col min="16" max="16384" width="9" style="226"/>
  </cols>
  <sheetData>
    <row r="1" spans="1:13">
      <c r="A1" s="222" t="s">
        <v>188</v>
      </c>
    </row>
    <row r="2" spans="1:13">
      <c r="A2" s="222" t="s">
        <v>413</v>
      </c>
    </row>
    <row r="3" spans="1:13">
      <c r="A3" s="222"/>
    </row>
    <row r="4" spans="1:13">
      <c r="A4" s="224" t="s">
        <v>11</v>
      </c>
      <c r="B4" s="225" t="s">
        <v>190</v>
      </c>
    </row>
    <row r="5" spans="1:13">
      <c r="B5" s="223">
        <v>2</v>
      </c>
      <c r="C5" s="225">
        <v>12</v>
      </c>
      <c r="D5" s="223">
        <f>C5*B5</f>
        <v>24</v>
      </c>
    </row>
    <row r="6" spans="1:13">
      <c r="B6" s="223">
        <v>2</v>
      </c>
      <c r="C6" s="225">
        <v>20</v>
      </c>
      <c r="D6" s="223">
        <f>C6*B6</f>
        <v>40</v>
      </c>
    </row>
    <row r="7" spans="1:13">
      <c r="C7" s="225"/>
      <c r="E7" s="227">
        <f>SUM(D5:D6)</f>
        <v>64</v>
      </c>
    </row>
    <row r="8" spans="1:13" ht="17.25">
      <c r="A8" s="224" t="s">
        <v>12</v>
      </c>
      <c r="B8" s="228" t="s">
        <v>191</v>
      </c>
      <c r="C8" s="229"/>
    </row>
    <row r="10" spans="1:13">
      <c r="A10" s="226">
        <v>1</v>
      </c>
      <c r="B10" s="223" t="s">
        <v>192</v>
      </c>
      <c r="F10" s="223" t="s">
        <v>414</v>
      </c>
    </row>
    <row r="11" spans="1:13">
      <c r="D11" s="230" t="s">
        <v>193</v>
      </c>
      <c r="E11" s="230" t="s">
        <v>194</v>
      </c>
      <c r="F11" s="230" t="s">
        <v>195</v>
      </c>
      <c r="G11" s="230"/>
      <c r="H11" s="230"/>
    </row>
    <row r="12" spans="1:13">
      <c r="B12" s="231" t="s">
        <v>165</v>
      </c>
      <c r="C12" s="232" t="s">
        <v>197</v>
      </c>
      <c r="D12" s="486">
        <v>15</v>
      </c>
      <c r="F12" s="304">
        <v>15</v>
      </c>
      <c r="I12" s="223">
        <f>F12*E12*D12</f>
        <v>0</v>
      </c>
    </row>
    <row r="13" spans="1:13">
      <c r="B13" s="231"/>
      <c r="C13" s="232" t="s">
        <v>198</v>
      </c>
      <c r="D13" s="486">
        <f>4+2.4</f>
        <v>6.4</v>
      </c>
      <c r="F13" s="304">
        <f>4+2.4</f>
        <v>6.4</v>
      </c>
    </row>
    <row r="14" spans="1:13">
      <c r="B14" s="231" t="s">
        <v>199</v>
      </c>
      <c r="C14" s="232" t="s">
        <v>197</v>
      </c>
      <c r="D14" s="486">
        <v>15</v>
      </c>
      <c r="F14" s="304">
        <v>15</v>
      </c>
      <c r="I14" s="223">
        <f>F14*E14*D14</f>
        <v>0</v>
      </c>
    </row>
    <row r="15" spans="1:13">
      <c r="B15" s="231" t="s">
        <v>202</v>
      </c>
      <c r="C15" s="232" t="s">
        <v>415</v>
      </c>
      <c r="D15" s="486">
        <v>5.5</v>
      </c>
      <c r="I15" s="223">
        <f>F15*E15*D15</f>
        <v>0</v>
      </c>
    </row>
    <row r="16" spans="1:13" s="223" customFormat="1">
      <c r="A16" s="226"/>
      <c r="B16" s="231" t="s">
        <v>416</v>
      </c>
      <c r="C16" s="232"/>
      <c r="D16" s="487"/>
      <c r="I16" s="223">
        <f>F16*E16*D16</f>
        <v>0</v>
      </c>
      <c r="M16" s="485"/>
    </row>
    <row r="17" spans="1:13" s="223" customFormat="1">
      <c r="A17" s="226"/>
      <c r="B17" s="254" t="s">
        <v>417</v>
      </c>
      <c r="C17" s="232" t="s">
        <v>200</v>
      </c>
      <c r="D17" s="486">
        <f>5.5+4</f>
        <v>9.5</v>
      </c>
      <c r="F17" s="304">
        <f>5.5+4</f>
        <v>9.5</v>
      </c>
      <c r="I17" s="223">
        <f>F17*E17*D17</f>
        <v>0</v>
      </c>
      <c r="M17" s="485"/>
    </row>
    <row r="18" spans="1:13" s="223" customFormat="1">
      <c r="A18" s="226"/>
      <c r="B18" s="254" t="s">
        <v>63</v>
      </c>
      <c r="C18" s="232" t="s">
        <v>418</v>
      </c>
      <c r="D18" s="487">
        <v>5.5</v>
      </c>
      <c r="F18" s="488">
        <v>5.5</v>
      </c>
      <c r="I18" s="223">
        <f>F18*E18*D18</f>
        <v>0</v>
      </c>
      <c r="M18" s="485"/>
    </row>
    <row r="19" spans="1:13" s="223" customFormat="1">
      <c r="A19" s="226"/>
      <c r="B19" s="254"/>
      <c r="C19" s="232"/>
      <c r="M19" s="485"/>
    </row>
    <row r="20" spans="1:13" s="223" customFormat="1">
      <c r="A20" s="226"/>
      <c r="B20" s="254">
        <v>1</v>
      </c>
      <c r="C20" s="232" t="s">
        <v>419</v>
      </c>
      <c r="D20" s="223">
        <v>16.649999999999999</v>
      </c>
      <c r="E20" s="232" t="s">
        <v>420</v>
      </c>
      <c r="F20" s="488">
        <v>8.4</v>
      </c>
      <c r="M20" s="485"/>
    </row>
    <row r="21" spans="1:13" s="223" customFormat="1">
      <c r="A21" s="226"/>
      <c r="B21" s="254"/>
      <c r="C21" s="232"/>
      <c r="D21" s="223">
        <v>1.5</v>
      </c>
      <c r="F21" s="488">
        <f>D21</f>
        <v>1.5</v>
      </c>
      <c r="M21" s="485"/>
    </row>
    <row r="22" spans="1:13" s="223" customFormat="1">
      <c r="A22" s="226"/>
      <c r="B22" s="254">
        <v>2</v>
      </c>
      <c r="C22" s="232" t="s">
        <v>419</v>
      </c>
      <c r="D22" s="223">
        <v>16.649999999999999</v>
      </c>
      <c r="F22" s="488">
        <v>4</v>
      </c>
      <c r="M22" s="485"/>
    </row>
    <row r="23" spans="1:13" s="223" customFormat="1">
      <c r="A23" s="226"/>
      <c r="B23" s="245">
        <v>3</v>
      </c>
      <c r="C23" s="232" t="s">
        <v>421</v>
      </c>
      <c r="D23" s="223">
        <v>12.65</v>
      </c>
      <c r="F23" s="488"/>
      <c r="I23" s="223">
        <f>F23*E23*D23</f>
        <v>0</v>
      </c>
      <c r="M23" s="485"/>
    </row>
    <row r="24" spans="1:13" s="223" customFormat="1">
      <c r="A24" s="226"/>
      <c r="B24" s="245"/>
      <c r="C24" s="232"/>
      <c r="D24" s="223">
        <f>2*3</f>
        <v>6</v>
      </c>
      <c r="F24" s="488"/>
      <c r="M24" s="485"/>
    </row>
    <row r="25" spans="1:13" s="223" customFormat="1">
      <c r="A25" s="226"/>
      <c r="B25" s="245">
        <v>4</v>
      </c>
      <c r="C25" s="232" t="s">
        <v>421</v>
      </c>
      <c r="D25" s="223">
        <v>20</v>
      </c>
      <c r="F25" s="488">
        <f>D25</f>
        <v>20</v>
      </c>
      <c r="M25" s="485"/>
    </row>
    <row r="26" spans="1:13" s="223" customFormat="1">
      <c r="A26" s="226"/>
      <c r="B26" s="245">
        <v>5</v>
      </c>
      <c r="C26" s="232" t="s">
        <v>422</v>
      </c>
      <c r="D26" s="223">
        <v>4</v>
      </c>
      <c r="F26" s="488">
        <f>D26</f>
        <v>4</v>
      </c>
      <c r="M26" s="485"/>
    </row>
    <row r="27" spans="1:13" s="223" customFormat="1">
      <c r="A27" s="226"/>
      <c r="B27" s="245"/>
      <c r="C27" s="232"/>
      <c r="M27" s="485"/>
    </row>
    <row r="28" spans="1:13" s="223" customFormat="1">
      <c r="A28" s="226"/>
      <c r="B28" s="245"/>
      <c r="C28" s="232"/>
      <c r="M28" s="485"/>
    </row>
    <row r="29" spans="1:13" s="223" customFormat="1">
      <c r="A29" s="226"/>
      <c r="B29" s="245"/>
      <c r="C29" s="255" t="s">
        <v>208</v>
      </c>
      <c r="E29" s="223">
        <f>SUM(D12:D27)</f>
        <v>134.35</v>
      </c>
      <c r="F29" s="223">
        <v>0.7</v>
      </c>
      <c r="G29" s="223">
        <v>0.7</v>
      </c>
      <c r="H29" s="223">
        <f>G29*F29*E29</f>
        <v>65.831499999999991</v>
      </c>
      <c r="M29" s="485"/>
    </row>
    <row r="30" spans="1:13" s="223" customFormat="1">
      <c r="A30" s="226"/>
      <c r="B30" s="245"/>
      <c r="M30" s="485"/>
    </row>
    <row r="31" spans="1:13" s="223" customFormat="1">
      <c r="A31" s="226"/>
      <c r="B31" s="245"/>
      <c r="C31" s="255" t="s">
        <v>210</v>
      </c>
      <c r="E31" s="223">
        <f>E29</f>
        <v>134.35</v>
      </c>
      <c r="F31" s="223">
        <f>F29</f>
        <v>0.7</v>
      </c>
      <c r="G31" s="223">
        <v>0.05</v>
      </c>
      <c r="H31" s="223">
        <f>G31*F31*E31</f>
        <v>4.7022499999999994</v>
      </c>
      <c r="M31" s="485"/>
    </row>
    <row r="32" spans="1:13" s="223" customFormat="1">
      <c r="A32" s="226"/>
      <c r="B32" s="245"/>
      <c r="C32" s="232"/>
      <c r="M32" s="485"/>
    </row>
    <row r="33" spans="1:14" s="223" customFormat="1" ht="15.75">
      <c r="A33" s="489"/>
      <c r="B33" s="245"/>
      <c r="C33" s="232" t="s">
        <v>423</v>
      </c>
      <c r="E33" s="223">
        <v>3</v>
      </c>
      <c r="F33" s="235">
        <f>SUM(F12:F28)</f>
        <v>89.3</v>
      </c>
      <c r="H33" s="223">
        <f>F33*E33</f>
        <v>267.89999999999998</v>
      </c>
      <c r="M33" s="485"/>
    </row>
    <row r="34" spans="1:14" s="223" customFormat="1">
      <c r="A34" s="226"/>
      <c r="B34" s="254" t="s">
        <v>424</v>
      </c>
      <c r="C34" s="232" t="s">
        <v>425</v>
      </c>
      <c r="D34" s="223" t="s">
        <v>425</v>
      </c>
      <c r="E34" s="223">
        <v>0.63</v>
      </c>
      <c r="F34" s="223">
        <v>2.5</v>
      </c>
      <c r="G34" s="223">
        <v>1</v>
      </c>
      <c r="H34" s="223">
        <f>G34*F34*E34</f>
        <v>1.575</v>
      </c>
      <c r="M34" s="485"/>
    </row>
    <row r="35" spans="1:14" s="223" customFormat="1">
      <c r="A35" s="226"/>
      <c r="B35" s="245"/>
      <c r="C35" s="232"/>
      <c r="D35" s="223" t="s">
        <v>426</v>
      </c>
      <c r="E35" s="223">
        <v>2.74</v>
      </c>
      <c r="F35" s="223">
        <v>2.35</v>
      </c>
      <c r="G35" s="223">
        <v>1</v>
      </c>
      <c r="H35" s="223">
        <f>G35*F35*E35</f>
        <v>6.4390000000000009</v>
      </c>
      <c r="M35" s="485"/>
    </row>
    <row r="36" spans="1:14" s="223" customFormat="1" ht="17.25" customHeight="1">
      <c r="A36" s="226"/>
      <c r="B36" s="254"/>
      <c r="C36" s="232"/>
      <c r="D36" s="223" t="s">
        <v>427</v>
      </c>
      <c r="E36" s="223">
        <v>1.35</v>
      </c>
      <c r="F36" s="223">
        <v>0.4</v>
      </c>
      <c r="G36" s="223">
        <v>2</v>
      </c>
      <c r="H36" s="223">
        <f>G36*F36*E36</f>
        <v>1.08</v>
      </c>
      <c r="M36" s="485"/>
    </row>
    <row r="37" spans="1:14" s="223" customFormat="1" ht="19.5" customHeight="1">
      <c r="A37" s="226"/>
      <c r="B37" s="254"/>
      <c r="C37" s="232"/>
      <c r="D37" s="223" t="s">
        <v>428</v>
      </c>
      <c r="E37" s="223">
        <v>10</v>
      </c>
      <c r="F37" s="223">
        <v>2.5</v>
      </c>
      <c r="G37" s="223">
        <v>1</v>
      </c>
      <c r="H37" s="223">
        <f>G37*F37*E37</f>
        <v>25</v>
      </c>
      <c r="M37" s="485"/>
    </row>
    <row r="38" spans="1:14" s="223" customFormat="1" ht="18" customHeight="1">
      <c r="A38" s="226"/>
      <c r="B38" s="254"/>
      <c r="C38" s="232"/>
      <c r="H38" s="223">
        <f>H33-H34-H35-H36-H37</f>
        <v>233.80599999999998</v>
      </c>
      <c r="I38" s="223" t="s">
        <v>14</v>
      </c>
      <c r="M38" s="485"/>
    </row>
    <row r="39" spans="1:14" s="223" customFormat="1" ht="21.75" customHeight="1">
      <c r="A39" s="226"/>
      <c r="B39" s="254"/>
      <c r="C39" s="232"/>
      <c r="M39" s="485"/>
    </row>
    <row r="40" spans="1:14" s="223" customFormat="1" ht="21.75" customHeight="1">
      <c r="A40" s="226"/>
      <c r="B40" s="254"/>
      <c r="C40" s="232"/>
      <c r="M40" s="485"/>
    </row>
    <row r="41" spans="1:14" s="223" customFormat="1" ht="21.75" customHeight="1">
      <c r="A41" s="226"/>
      <c r="B41" s="254"/>
      <c r="C41" s="232"/>
      <c r="J41" s="263"/>
      <c r="K41" s="264" t="s">
        <v>216</v>
      </c>
      <c r="L41" s="265" t="s">
        <v>217</v>
      </c>
      <c r="M41" s="236" t="s">
        <v>218</v>
      </c>
      <c r="N41" s="236"/>
    </row>
    <row r="42" spans="1:14" s="223" customFormat="1" ht="21.75" customHeight="1">
      <c r="A42" s="226"/>
      <c r="B42" s="254"/>
      <c r="C42" s="232"/>
      <c r="E42" s="223" t="s">
        <v>429</v>
      </c>
      <c r="F42" s="223" t="s">
        <v>195</v>
      </c>
      <c r="G42" s="223" t="s">
        <v>268</v>
      </c>
      <c r="J42" s="270" t="s">
        <v>221</v>
      </c>
      <c r="K42" s="264">
        <v>310000</v>
      </c>
      <c r="L42" s="265">
        <v>13.6</v>
      </c>
      <c r="M42" s="236">
        <f>L42*K42</f>
        <v>4216000</v>
      </c>
      <c r="N42" s="237"/>
    </row>
    <row r="43" spans="1:14" s="223" customFormat="1" ht="21.75" customHeight="1">
      <c r="A43" s="226"/>
      <c r="B43" s="245"/>
      <c r="C43" s="232" t="s">
        <v>207</v>
      </c>
      <c r="D43" s="223" t="s">
        <v>430</v>
      </c>
      <c r="E43" s="235">
        <f>E29</f>
        <v>134.35</v>
      </c>
      <c r="J43" s="251" t="s">
        <v>223</v>
      </c>
      <c r="K43" s="264">
        <v>50000</v>
      </c>
      <c r="L43" s="265">
        <f>L42</f>
        <v>13.6</v>
      </c>
      <c r="M43" s="236">
        <f>L43*K43</f>
        <v>680000</v>
      </c>
      <c r="N43" s="242"/>
    </row>
    <row r="44" spans="1:14" s="223" customFormat="1" ht="21.75" customHeight="1">
      <c r="A44" s="226"/>
      <c r="B44" s="245"/>
      <c r="C44" s="232" t="s">
        <v>431</v>
      </c>
      <c r="E44" s="235">
        <f>SUM(D13:D42)</f>
        <v>119.35</v>
      </c>
      <c r="F44" s="223">
        <v>0.4</v>
      </c>
      <c r="G44" s="223">
        <v>0.5</v>
      </c>
      <c r="H44" s="235">
        <f>G44*F44*E44</f>
        <v>23.87</v>
      </c>
      <c r="I44" s="223" t="s">
        <v>15</v>
      </c>
      <c r="J44" s="274" t="s">
        <v>225</v>
      </c>
      <c r="K44" s="274"/>
      <c r="L44" s="265"/>
      <c r="M44" s="246"/>
      <c r="N44" s="275">
        <f>SUM(M42:M43)</f>
        <v>4896000</v>
      </c>
    </row>
    <row r="45" spans="1:14" s="223" customFormat="1" ht="15.75">
      <c r="A45" s="226"/>
      <c r="B45" s="245"/>
      <c r="C45" s="232" t="s">
        <v>432</v>
      </c>
      <c r="E45" s="235">
        <f>E43</f>
        <v>134.35</v>
      </c>
      <c r="F45" s="223">
        <v>0.5</v>
      </c>
      <c r="G45" s="223">
        <v>0.5</v>
      </c>
      <c r="H45" s="235">
        <f>G45*F45*E45</f>
        <v>33.587499999999999</v>
      </c>
      <c r="I45" s="223" t="s">
        <v>15</v>
      </c>
      <c r="M45" s="485"/>
    </row>
    <row r="46" spans="1:14" s="223" customFormat="1" ht="15.75">
      <c r="A46" s="226"/>
      <c r="B46" s="245"/>
      <c r="C46" s="232" t="s">
        <v>433</v>
      </c>
      <c r="E46" s="235">
        <f>E45</f>
        <v>134.35</v>
      </c>
      <c r="F46" s="223">
        <v>0.5</v>
      </c>
      <c r="G46" s="223">
        <v>0.05</v>
      </c>
      <c r="H46" s="235">
        <f>G46*F46*E46</f>
        <v>3.3587500000000001</v>
      </c>
      <c r="I46" s="223" t="s">
        <v>15</v>
      </c>
      <c r="M46" s="485"/>
    </row>
    <row r="47" spans="1:14" s="223" customFormat="1">
      <c r="A47" s="226"/>
      <c r="B47" s="245"/>
      <c r="C47" s="232" t="s">
        <v>212</v>
      </c>
      <c r="D47" s="223">
        <v>21</v>
      </c>
      <c r="E47" s="223">
        <v>1.2</v>
      </c>
      <c r="F47" s="223">
        <v>1.2</v>
      </c>
      <c r="G47" s="223">
        <v>0.3</v>
      </c>
      <c r="H47" s="223">
        <f>G47*F47*E47*D47</f>
        <v>9.0719999999999992</v>
      </c>
      <c r="I47" s="223" t="s">
        <v>15</v>
      </c>
      <c r="M47" s="485"/>
    </row>
    <row r="48" spans="1:14" s="223" customFormat="1">
      <c r="A48" s="226"/>
      <c r="B48" s="245"/>
      <c r="C48" s="255" t="s">
        <v>209</v>
      </c>
      <c r="D48" s="223">
        <v>21</v>
      </c>
      <c r="E48" s="223">
        <v>2</v>
      </c>
      <c r="F48" s="223">
        <v>1.2</v>
      </c>
      <c r="G48" s="223">
        <v>1.2</v>
      </c>
      <c r="H48" s="223">
        <f>G48*F48*E48*D48</f>
        <v>60.48</v>
      </c>
      <c r="I48" s="223" t="s">
        <v>15</v>
      </c>
      <c r="M48" s="485"/>
    </row>
    <row r="49" spans="1:13" s="223" customFormat="1">
      <c r="A49" s="226"/>
      <c r="B49" s="245"/>
      <c r="C49" s="232" t="s">
        <v>434</v>
      </c>
      <c r="D49" s="223">
        <f>D48</f>
        <v>21</v>
      </c>
      <c r="E49" s="223">
        <v>0.05</v>
      </c>
      <c r="F49" s="223">
        <v>1.2</v>
      </c>
      <c r="G49" s="223">
        <v>1.2</v>
      </c>
      <c r="H49" s="223">
        <f>G49*F49*E49*D49</f>
        <v>1.5119999999999998</v>
      </c>
      <c r="I49" s="223" t="s">
        <v>15</v>
      </c>
      <c r="M49" s="485"/>
    </row>
    <row r="50" spans="1:13" s="223" customFormat="1" ht="15.75">
      <c r="A50" s="226"/>
      <c r="B50" s="245"/>
      <c r="E50" s="235"/>
      <c r="H50" s="235"/>
      <c r="M50" s="485"/>
    </row>
    <row r="51" spans="1:13" s="223" customFormat="1" ht="15.75">
      <c r="A51" s="226"/>
      <c r="B51" s="245"/>
      <c r="C51" s="232" t="s">
        <v>435</v>
      </c>
      <c r="E51" s="235">
        <f>E46</f>
        <v>134.35</v>
      </c>
      <c r="F51" s="223">
        <v>0.15</v>
      </c>
      <c r="G51" s="223">
        <v>0.25</v>
      </c>
      <c r="H51" s="235">
        <f>G51*F51*E51</f>
        <v>5.038125</v>
      </c>
      <c r="I51" s="223" t="s">
        <v>15</v>
      </c>
      <c r="M51" s="485"/>
    </row>
    <row r="52" spans="1:13" s="223" customFormat="1" ht="15.75">
      <c r="A52" s="226"/>
      <c r="B52" s="245"/>
      <c r="C52" s="232" t="s">
        <v>436</v>
      </c>
      <c r="D52" s="223">
        <v>9</v>
      </c>
      <c r="E52" s="235">
        <v>3.2</v>
      </c>
      <c r="H52" s="235"/>
      <c r="I52" s="223" t="s">
        <v>15</v>
      </c>
      <c r="M52" s="485"/>
    </row>
    <row r="53" spans="1:13" s="223" customFormat="1" ht="15.75">
      <c r="A53" s="226"/>
      <c r="B53" s="245"/>
      <c r="C53" s="232" t="s">
        <v>437</v>
      </c>
      <c r="E53" s="235">
        <f>E51</f>
        <v>134.35</v>
      </c>
      <c r="H53" s="235"/>
      <c r="I53" s="223" t="s">
        <v>15</v>
      </c>
      <c r="M53" s="485"/>
    </row>
    <row r="54" spans="1:13" s="223" customFormat="1" ht="15.75">
      <c r="A54" s="226"/>
      <c r="B54" s="245"/>
      <c r="C54" s="232" t="s">
        <v>438</v>
      </c>
      <c r="E54" s="235">
        <v>12.65</v>
      </c>
      <c r="F54" s="223">
        <v>3</v>
      </c>
      <c r="G54" s="223">
        <v>0.1</v>
      </c>
      <c r="H54" s="235">
        <f>G54*F54*E54</f>
        <v>3.7950000000000008</v>
      </c>
      <c r="M54" s="485"/>
    </row>
    <row r="55" spans="1:13" s="223" customFormat="1" ht="15.75">
      <c r="A55" s="226"/>
      <c r="B55" s="245"/>
      <c r="C55" s="232"/>
      <c r="E55" s="235"/>
      <c r="H55" s="235"/>
      <c r="M55" s="485"/>
    </row>
    <row r="56" spans="1:13" s="223" customFormat="1" ht="15.75">
      <c r="A56" s="226"/>
      <c r="B56" s="245"/>
      <c r="C56" s="232"/>
      <c r="E56" s="235"/>
      <c r="H56" s="235"/>
      <c r="M56" s="485"/>
    </row>
    <row r="57" spans="1:13" s="223" customFormat="1" ht="15.75">
      <c r="A57" s="226"/>
      <c r="B57" s="245"/>
      <c r="C57" s="232"/>
      <c r="E57" s="235"/>
      <c r="H57" s="235"/>
      <c r="M57" s="485"/>
    </row>
    <row r="58" spans="1:13" s="223" customFormat="1" ht="15.75">
      <c r="A58" s="226"/>
      <c r="B58" s="245"/>
      <c r="C58" s="232" t="s">
        <v>439</v>
      </c>
      <c r="D58" s="490">
        <v>1</v>
      </c>
      <c r="E58" s="235"/>
      <c r="F58" s="223">
        <v>77.5</v>
      </c>
      <c r="G58" s="223">
        <v>75.099999999999994</v>
      </c>
      <c r="H58" s="235">
        <f>G58+F58</f>
        <v>152.6</v>
      </c>
      <c r="M58" s="485"/>
    </row>
    <row r="59" spans="1:13" s="223" customFormat="1" ht="15.75">
      <c r="A59" s="226"/>
      <c r="B59" s="245"/>
      <c r="C59" s="232"/>
      <c r="D59" s="490">
        <v>2</v>
      </c>
      <c r="E59" s="235"/>
      <c r="F59" s="223">
        <v>49.3</v>
      </c>
      <c r="G59" s="223">
        <v>2</v>
      </c>
      <c r="H59" s="235">
        <f>G59*F59</f>
        <v>98.6</v>
      </c>
      <c r="M59" s="485"/>
    </row>
    <row r="60" spans="1:13" s="223" customFormat="1" ht="15.75">
      <c r="A60" s="226"/>
      <c r="B60" s="245"/>
      <c r="C60" s="232"/>
      <c r="D60" s="490"/>
      <c r="E60" s="235"/>
      <c r="H60" s="491">
        <f>SUM(H58:H59)</f>
        <v>251.2</v>
      </c>
      <c r="M60" s="485"/>
    </row>
    <row r="61" spans="1:13" s="223" customFormat="1" ht="15.75">
      <c r="A61" s="226"/>
      <c r="B61" s="245"/>
      <c r="C61" s="232"/>
      <c r="D61" s="490"/>
      <c r="E61" s="235"/>
      <c r="H61" s="491"/>
      <c r="M61" s="485"/>
    </row>
    <row r="62" spans="1:13" s="223" customFormat="1" ht="15.75">
      <c r="A62" s="226"/>
      <c r="B62" s="245"/>
      <c r="C62" s="232"/>
      <c r="D62" s="490"/>
      <c r="E62" s="235"/>
      <c r="H62" s="491"/>
      <c r="M62" s="485"/>
    </row>
    <row r="63" spans="1:13" s="223" customFormat="1" ht="15.75">
      <c r="A63" s="226"/>
      <c r="B63" s="245"/>
      <c r="C63" s="232" t="s">
        <v>440</v>
      </c>
      <c r="D63" s="490">
        <v>3</v>
      </c>
      <c r="E63" s="235">
        <v>18.899999999999999</v>
      </c>
      <c r="F63" s="223">
        <v>2</v>
      </c>
      <c r="G63" s="492">
        <f>F63*E63</f>
        <v>37.799999999999997</v>
      </c>
      <c r="M63" s="485"/>
    </row>
    <row r="64" spans="1:13" s="223" customFormat="1" ht="15.75">
      <c r="A64" s="226"/>
      <c r="B64" s="245"/>
      <c r="C64" s="232"/>
      <c r="D64" s="490">
        <v>4</v>
      </c>
      <c r="E64" s="235"/>
      <c r="H64" s="235">
        <f>F64*E64</f>
        <v>0</v>
      </c>
      <c r="M64" s="485"/>
    </row>
    <row r="65" spans="1:13" s="223" customFormat="1" ht="18.75" customHeight="1">
      <c r="A65" s="226"/>
      <c r="B65" s="245"/>
      <c r="C65" s="232"/>
      <c r="E65" s="235"/>
      <c r="H65" s="235"/>
      <c r="M65" s="485"/>
    </row>
    <row r="66" spans="1:13" s="223" customFormat="1" ht="18.75" customHeight="1">
      <c r="A66" s="226"/>
      <c r="B66" s="245"/>
      <c r="C66" s="493" t="s">
        <v>441</v>
      </c>
      <c r="E66" s="235"/>
      <c r="G66" s="235"/>
      <c r="H66" s="235">
        <f>SUM(H58:H65)</f>
        <v>502.4</v>
      </c>
      <c r="I66" s="227" t="s">
        <v>14</v>
      </c>
      <c r="M66" s="485"/>
    </row>
    <row r="67" spans="1:13" s="223" customFormat="1" ht="18.75" customHeight="1">
      <c r="A67" s="226"/>
      <c r="B67" s="245">
        <v>1</v>
      </c>
      <c r="C67" s="232" t="s">
        <v>442</v>
      </c>
      <c r="D67" s="223">
        <v>3.5</v>
      </c>
      <c r="E67" s="312">
        <v>2</v>
      </c>
      <c r="F67" s="223">
        <f>E67*D67</f>
        <v>7</v>
      </c>
      <c r="G67" s="227"/>
      <c r="H67" s="235"/>
      <c r="M67" s="485"/>
    </row>
    <row r="68" spans="1:13" s="223" customFormat="1" ht="15.75">
      <c r="A68" s="226"/>
      <c r="B68" s="245"/>
      <c r="C68" s="232"/>
      <c r="D68" s="223">
        <v>1.3</v>
      </c>
      <c r="E68" s="312">
        <v>2</v>
      </c>
      <c r="F68" s="223">
        <f>E68*D68</f>
        <v>2.6</v>
      </c>
      <c r="G68" s="235"/>
      <c r="H68" s="235"/>
      <c r="M68" s="485"/>
    </row>
    <row r="69" spans="1:13" s="223" customFormat="1" ht="15.75">
      <c r="A69" s="226"/>
      <c r="B69" s="245"/>
      <c r="C69" s="232"/>
      <c r="D69" s="223">
        <v>2.4</v>
      </c>
      <c r="E69" s="312">
        <v>1</v>
      </c>
      <c r="F69" s="223">
        <f>E69*D69</f>
        <v>2.4</v>
      </c>
      <c r="G69" s="312"/>
      <c r="H69" s="312"/>
      <c r="M69" s="485"/>
    </row>
    <row r="70" spans="1:13" s="223" customFormat="1" ht="15.75">
      <c r="A70" s="226"/>
      <c r="B70" s="245"/>
      <c r="C70" s="232"/>
      <c r="D70" s="223">
        <v>5.4</v>
      </c>
      <c r="E70" s="312">
        <v>1</v>
      </c>
      <c r="F70" s="223">
        <f>E70*D70</f>
        <v>5.4</v>
      </c>
      <c r="G70" s="312"/>
      <c r="H70" s="312"/>
      <c r="M70" s="485"/>
    </row>
    <row r="71" spans="1:13" s="223" customFormat="1" ht="18.75">
      <c r="A71" s="226"/>
      <c r="B71" s="245"/>
      <c r="C71" s="232" t="s">
        <v>443</v>
      </c>
      <c r="E71" s="312">
        <v>2</v>
      </c>
      <c r="F71" s="320">
        <f>SUM(F67:F70)</f>
        <v>17.399999999999999</v>
      </c>
      <c r="G71" s="494">
        <f>F71*E71</f>
        <v>34.799999999999997</v>
      </c>
      <c r="H71" s="312" t="s">
        <v>254</v>
      </c>
      <c r="M71" s="485"/>
    </row>
    <row r="72" spans="1:13" s="223" customFormat="1" ht="18.75">
      <c r="A72" s="226"/>
      <c r="B72" s="245"/>
      <c r="C72" s="232" t="s">
        <v>444</v>
      </c>
      <c r="D72" s="223">
        <f>D70/2</f>
        <v>2.7</v>
      </c>
      <c r="E72" s="312">
        <v>2.4</v>
      </c>
      <c r="F72" s="227">
        <v>2</v>
      </c>
      <c r="G72" s="494">
        <f>F72*E72*D72</f>
        <v>12.96</v>
      </c>
      <c r="H72" s="312" t="s">
        <v>254</v>
      </c>
      <c r="M72" s="485"/>
    </row>
    <row r="73" spans="1:13" s="223" customFormat="1" ht="18.75">
      <c r="A73" s="226"/>
      <c r="B73" s="245"/>
      <c r="C73" s="232"/>
      <c r="E73" s="312"/>
      <c r="F73" s="320"/>
      <c r="G73" s="494"/>
      <c r="H73" s="312"/>
      <c r="M73" s="485"/>
    </row>
    <row r="74" spans="1:13" s="223" customFormat="1" ht="18.75">
      <c r="A74" s="226"/>
      <c r="B74" s="245"/>
      <c r="C74" s="232"/>
      <c r="E74" s="312"/>
      <c r="F74" s="320"/>
      <c r="G74" s="494"/>
      <c r="H74" s="312"/>
      <c r="M74" s="485"/>
    </row>
    <row r="75" spans="1:13" s="223" customFormat="1" ht="15.75">
      <c r="A75" s="226"/>
      <c r="B75" s="245"/>
      <c r="C75" s="223" t="s">
        <v>445</v>
      </c>
      <c r="D75" s="223">
        <v>1.3</v>
      </c>
      <c r="E75" s="312">
        <v>4</v>
      </c>
      <c r="F75" s="223">
        <f>E75*D75</f>
        <v>5.2</v>
      </c>
      <c r="G75" s="312"/>
      <c r="H75" s="312"/>
      <c r="M75" s="485"/>
    </row>
    <row r="76" spans="1:13" s="223" customFormat="1" ht="15.75">
      <c r="A76" s="226"/>
      <c r="B76" s="245"/>
      <c r="C76" s="232"/>
      <c r="D76" s="223">
        <v>0.4</v>
      </c>
      <c r="E76" s="312">
        <v>4</v>
      </c>
      <c r="F76" s="223">
        <f>E76*D76</f>
        <v>1.6</v>
      </c>
      <c r="G76" s="312"/>
      <c r="H76" s="235"/>
      <c r="I76" s="235"/>
      <c r="M76" s="485"/>
    </row>
    <row r="77" spans="1:13" s="223" customFormat="1" ht="15.75">
      <c r="A77" s="226"/>
      <c r="B77" s="245"/>
      <c r="C77" s="232"/>
      <c r="E77" s="312">
        <v>2</v>
      </c>
      <c r="F77" s="320">
        <f>SUM(F75:F76)</f>
        <v>6.8000000000000007</v>
      </c>
      <c r="G77" s="227">
        <f>F77*E77</f>
        <v>13.600000000000001</v>
      </c>
      <c r="H77" s="235"/>
      <c r="M77" s="485"/>
    </row>
    <row r="78" spans="1:13" s="223" customFormat="1" ht="15.75">
      <c r="A78" s="226"/>
      <c r="B78" s="245"/>
      <c r="C78" s="232"/>
      <c r="E78" s="312"/>
      <c r="F78" s="320"/>
      <c r="G78" s="227"/>
      <c r="H78" s="235"/>
      <c r="M78" s="485"/>
    </row>
    <row r="79" spans="1:13" s="223" customFormat="1" ht="15.75">
      <c r="A79" s="226"/>
      <c r="B79" s="245"/>
      <c r="C79" s="232" t="s">
        <v>446</v>
      </c>
      <c r="D79" s="223">
        <f>1.1*2</f>
        <v>2.2000000000000002</v>
      </c>
      <c r="E79" s="312">
        <f>2.5*2</f>
        <v>5</v>
      </c>
      <c r="F79" s="320"/>
      <c r="G79" s="227">
        <f>E79+D79</f>
        <v>7.2</v>
      </c>
      <c r="H79" s="235"/>
      <c r="M79" s="485"/>
    </row>
    <row r="80" spans="1:13" s="223" customFormat="1" ht="15.75">
      <c r="A80" s="226"/>
      <c r="B80" s="245"/>
      <c r="C80" s="232" t="s">
        <v>447</v>
      </c>
      <c r="D80" s="223">
        <f>2.5*2</f>
        <v>5</v>
      </c>
      <c r="E80" s="312">
        <f>0.6*2</f>
        <v>1.2</v>
      </c>
      <c r="F80" s="320"/>
      <c r="G80" s="227">
        <f>E80+D80</f>
        <v>6.2</v>
      </c>
      <c r="H80" s="235"/>
      <c r="M80" s="485"/>
    </row>
    <row r="81" spans="1:13" s="223" customFormat="1" ht="15.75">
      <c r="A81" s="226"/>
      <c r="B81" s="245"/>
      <c r="C81" s="232"/>
      <c r="E81" s="312"/>
      <c r="F81" s="320"/>
      <c r="G81" s="227"/>
      <c r="H81" s="235"/>
      <c r="M81" s="485"/>
    </row>
    <row r="82" spans="1:13" s="223" customFormat="1" ht="15.75">
      <c r="A82" s="226"/>
      <c r="B82" s="245"/>
      <c r="C82" s="232" t="s">
        <v>448</v>
      </c>
      <c r="D82" s="223">
        <v>2.7</v>
      </c>
      <c r="E82" s="312">
        <v>4</v>
      </c>
      <c r="F82" s="223">
        <f>E82*D82</f>
        <v>10.8</v>
      </c>
      <c r="G82" s="227"/>
      <c r="H82" s="235"/>
      <c r="M82" s="485"/>
    </row>
    <row r="83" spans="1:13" s="223" customFormat="1" ht="15.75">
      <c r="A83" s="226"/>
      <c r="B83" s="245"/>
      <c r="C83" s="232"/>
      <c r="D83" s="223">
        <v>2.4</v>
      </c>
      <c r="E83" s="312">
        <v>4</v>
      </c>
      <c r="F83" s="223">
        <f>E83*D83</f>
        <v>9.6</v>
      </c>
      <c r="G83" s="227"/>
      <c r="H83" s="235"/>
      <c r="M83" s="485"/>
    </row>
    <row r="84" spans="1:13" s="223" customFormat="1" ht="15.75">
      <c r="A84" s="226"/>
      <c r="B84" s="245"/>
      <c r="C84" s="232"/>
      <c r="E84" s="312"/>
      <c r="F84" s="320">
        <f>SUM(F82:F83)</f>
        <v>20.399999999999999</v>
      </c>
      <c r="G84" s="320">
        <v>4</v>
      </c>
      <c r="H84" s="235">
        <f>G84*F84</f>
        <v>81.599999999999994</v>
      </c>
      <c r="M84" s="485"/>
    </row>
    <row r="85" spans="1:13" s="223" customFormat="1" ht="15.75">
      <c r="A85" s="226"/>
      <c r="B85" s="245"/>
      <c r="C85" s="232" t="s">
        <v>449</v>
      </c>
      <c r="D85" s="223">
        <v>6.8</v>
      </c>
      <c r="E85" s="312">
        <v>6</v>
      </c>
      <c r="F85" s="320">
        <f>E85*D85</f>
        <v>40.799999999999997</v>
      </c>
      <c r="G85" s="320"/>
      <c r="H85" s="235"/>
      <c r="M85" s="485"/>
    </row>
    <row r="86" spans="1:13" s="223" customFormat="1" ht="15.75">
      <c r="A86" s="226"/>
      <c r="B86" s="245"/>
      <c r="C86" s="232"/>
      <c r="D86" s="223">
        <v>6</v>
      </c>
      <c r="E86" s="312">
        <v>3</v>
      </c>
      <c r="F86" s="320">
        <f>E86*D86</f>
        <v>18</v>
      </c>
      <c r="G86" s="320"/>
      <c r="H86" s="235"/>
      <c r="M86" s="485"/>
    </row>
    <row r="87" spans="1:13" s="223" customFormat="1" ht="15.75">
      <c r="A87" s="226"/>
      <c r="B87" s="245"/>
      <c r="C87" s="232" t="s">
        <v>450</v>
      </c>
      <c r="E87" s="312"/>
      <c r="F87" s="227">
        <f>SUM(F85:F86)</f>
        <v>58.8</v>
      </c>
      <c r="G87" s="320"/>
      <c r="H87" s="235"/>
      <c r="M87" s="485"/>
    </row>
    <row r="88" spans="1:13" s="223" customFormat="1" ht="15.75">
      <c r="A88" s="226"/>
      <c r="B88" s="245"/>
      <c r="C88" s="232"/>
      <c r="E88" s="312"/>
      <c r="F88" s="320"/>
      <c r="G88" s="227"/>
      <c r="H88" s="235"/>
      <c r="M88" s="485"/>
    </row>
    <row r="89" spans="1:13" s="223" customFormat="1" ht="15.75">
      <c r="A89" s="226"/>
      <c r="B89" s="245"/>
      <c r="C89" s="232" t="s">
        <v>451</v>
      </c>
      <c r="D89" s="223">
        <v>2.4</v>
      </c>
      <c r="E89" s="312">
        <v>2.4</v>
      </c>
      <c r="F89" s="320">
        <v>5.2</v>
      </c>
      <c r="G89" s="227">
        <f>F89+E89+D89</f>
        <v>10</v>
      </c>
      <c r="H89" s="235"/>
      <c r="M89" s="485"/>
    </row>
    <row r="90" spans="1:13" s="223" customFormat="1" ht="15.75">
      <c r="A90" s="226"/>
      <c r="B90" s="245"/>
      <c r="C90" s="232" t="s">
        <v>452</v>
      </c>
      <c r="D90" s="223">
        <v>3</v>
      </c>
      <c r="E90" s="312">
        <v>2.4</v>
      </c>
      <c r="F90" s="320">
        <v>2.4</v>
      </c>
      <c r="G90" s="227">
        <f>F90+E90+D90</f>
        <v>7.8</v>
      </c>
      <c r="H90" s="235"/>
      <c r="M90" s="485"/>
    </row>
    <row r="91" spans="1:13" s="223" customFormat="1" ht="15.75">
      <c r="A91" s="226"/>
      <c r="B91" s="245"/>
      <c r="C91" s="232"/>
      <c r="E91" s="312"/>
      <c r="F91" s="320"/>
      <c r="G91" s="227"/>
      <c r="H91" s="235"/>
      <c r="M91" s="485"/>
    </row>
    <row r="92" spans="1:13" s="223" customFormat="1" ht="18">
      <c r="A92" s="226"/>
      <c r="B92" s="245"/>
      <c r="C92" s="257" t="s">
        <v>214</v>
      </c>
      <c r="D92" s="495">
        <f>1.2*1.2*0.3</f>
        <v>0.432</v>
      </c>
      <c r="E92" s="259" t="s">
        <v>215</v>
      </c>
      <c r="F92" s="496"/>
      <c r="G92" s="497"/>
      <c r="H92" s="498"/>
      <c r="K92" s="246"/>
      <c r="M92" s="485"/>
    </row>
    <row r="93" spans="1:13" s="223" customFormat="1" ht="15.75">
      <c r="A93" s="226"/>
      <c r="B93" s="245"/>
      <c r="C93" s="266" t="s">
        <v>219</v>
      </c>
      <c r="D93" s="499">
        <f>D92*6</f>
        <v>2.5920000000000001</v>
      </c>
      <c r="E93" s="268" t="s">
        <v>220</v>
      </c>
      <c r="F93" s="500">
        <v>55000</v>
      </c>
      <c r="G93" s="500">
        <f>D93*F93</f>
        <v>142560</v>
      </c>
      <c r="H93" s="498"/>
      <c r="K93" s="246"/>
      <c r="M93" s="485"/>
    </row>
    <row r="94" spans="1:13" s="223" customFormat="1" ht="18">
      <c r="A94" s="226"/>
      <c r="B94" s="245"/>
      <c r="C94" s="266" t="s">
        <v>222</v>
      </c>
      <c r="D94" s="499">
        <f>D92*0.52</f>
        <v>0.22464000000000001</v>
      </c>
      <c r="E94" s="268" t="s">
        <v>215</v>
      </c>
      <c r="F94" s="500">
        <v>380000</v>
      </c>
      <c r="G94" s="500">
        <f>D94*F94</f>
        <v>85363.199999999997</v>
      </c>
      <c r="H94" s="498"/>
      <c r="K94" s="272"/>
      <c r="M94" s="485"/>
    </row>
    <row r="95" spans="1:13" s="223" customFormat="1" ht="18">
      <c r="A95" s="226"/>
      <c r="B95" s="245"/>
      <c r="C95" s="266" t="s">
        <v>224</v>
      </c>
      <c r="D95" s="499">
        <f>D92*0.82</f>
        <v>0.35424</v>
      </c>
      <c r="E95" s="268" t="s">
        <v>215</v>
      </c>
      <c r="F95" s="500">
        <v>280000</v>
      </c>
      <c r="G95" s="500">
        <f>D95*F95</f>
        <v>99187.199999999997</v>
      </c>
      <c r="H95" s="498"/>
      <c r="K95" s="272"/>
      <c r="M95" s="485"/>
    </row>
    <row r="96" spans="1:13" s="223" customFormat="1" ht="15.75">
      <c r="A96" s="226"/>
      <c r="B96" s="245"/>
      <c r="C96" s="266" t="s">
        <v>226</v>
      </c>
      <c r="D96" s="499">
        <v>3</v>
      </c>
      <c r="E96" s="268" t="s">
        <v>20</v>
      </c>
      <c r="F96" s="501">
        <v>100000</v>
      </c>
      <c r="G96" s="500">
        <f>F96*D96</f>
        <v>300000</v>
      </c>
      <c r="H96" s="498"/>
      <c r="K96" s="272"/>
      <c r="M96" s="485"/>
    </row>
    <row r="97" spans="1:13" s="223" customFormat="1" ht="15.75">
      <c r="A97" s="226"/>
      <c r="B97" s="245"/>
      <c r="C97" s="266" t="s">
        <v>227</v>
      </c>
      <c r="D97" s="499">
        <f>D98/50</f>
        <v>0.75</v>
      </c>
      <c r="E97" s="268" t="s">
        <v>17</v>
      </c>
      <c r="F97" s="500">
        <v>20000</v>
      </c>
      <c r="G97" s="500">
        <f>F97*D97</f>
        <v>15000</v>
      </c>
      <c r="H97" s="498"/>
      <c r="K97" s="272"/>
      <c r="M97" s="485"/>
    </row>
    <row r="98" spans="1:13" s="223" customFormat="1" ht="15.75">
      <c r="A98" s="226"/>
      <c r="B98" s="245"/>
      <c r="C98" s="266" t="s">
        <v>228</v>
      </c>
      <c r="D98" s="499">
        <f>D96*12.5</f>
        <v>37.5</v>
      </c>
      <c r="E98" s="268" t="s">
        <v>17</v>
      </c>
      <c r="F98" s="500">
        <v>3000</v>
      </c>
      <c r="G98" s="500">
        <f>D98*F98</f>
        <v>112500</v>
      </c>
      <c r="H98" s="498"/>
      <c r="K98" s="272"/>
      <c r="M98" s="485"/>
    </row>
    <row r="99" spans="1:13" s="223" customFormat="1" ht="18">
      <c r="A99" s="226"/>
      <c r="B99" s="245"/>
      <c r="C99" s="279" t="s">
        <v>229</v>
      </c>
      <c r="D99" s="502">
        <f>D92</f>
        <v>0.432</v>
      </c>
      <c r="E99" s="281" t="s">
        <v>215</v>
      </c>
      <c r="F99" s="503">
        <v>300000</v>
      </c>
      <c r="G99" s="503">
        <f>D99*F99</f>
        <v>129600</v>
      </c>
      <c r="H99" s="498"/>
      <c r="K99" s="272"/>
      <c r="M99" s="485"/>
    </row>
    <row r="100" spans="1:13" s="223" customFormat="1" ht="15.75">
      <c r="A100" s="226"/>
      <c r="B100" s="245"/>
      <c r="C100" s="1147" t="s">
        <v>230</v>
      </c>
      <c r="D100" s="1147"/>
      <c r="E100" s="1147"/>
      <c r="F100" s="1147"/>
      <c r="G100" s="504">
        <f>SUM(G93:G99)</f>
        <v>884210.4</v>
      </c>
      <c r="H100" s="505">
        <f>G100/D92</f>
        <v>2046783.3333333335</v>
      </c>
      <c r="K100" s="272"/>
      <c r="M100" s="485"/>
    </row>
    <row r="101" spans="1:13" s="223" customFormat="1" ht="15.75">
      <c r="A101" s="226"/>
      <c r="B101" s="245"/>
      <c r="C101" s="296"/>
      <c r="D101" s="296"/>
      <c r="E101" s="296"/>
      <c r="F101" s="296"/>
      <c r="G101" s="506"/>
      <c r="H101" s="506"/>
      <c r="K101" s="272"/>
      <c r="M101" s="485"/>
    </row>
    <row r="102" spans="1:13" s="223" customFormat="1" ht="18">
      <c r="A102" s="226"/>
      <c r="B102" s="245"/>
      <c r="C102" s="257" t="s">
        <v>247</v>
      </c>
      <c r="D102" s="495">
        <f>0.2*0.4*4</f>
        <v>0.32000000000000006</v>
      </c>
      <c r="E102" s="259" t="s">
        <v>215</v>
      </c>
      <c r="F102" s="496"/>
      <c r="G102" s="497"/>
      <c r="H102" s="505"/>
      <c r="K102" s="272"/>
      <c r="M102" s="485"/>
    </row>
    <row r="103" spans="1:13" s="223" customFormat="1" ht="15.75">
      <c r="A103" s="226"/>
      <c r="B103" s="245"/>
      <c r="C103" s="266" t="s">
        <v>234</v>
      </c>
      <c r="D103" s="499"/>
      <c r="E103" s="268"/>
      <c r="F103" s="500"/>
      <c r="G103" s="500"/>
      <c r="H103" s="505"/>
      <c r="K103" s="272"/>
      <c r="M103" s="485"/>
    </row>
    <row r="104" spans="1:13" s="223" customFormat="1" ht="15.75">
      <c r="A104" s="226"/>
      <c r="B104" s="245"/>
      <c r="C104" s="266" t="s">
        <v>219</v>
      </c>
      <c r="D104" s="499">
        <f>D102*6</f>
        <v>1.9200000000000004</v>
      </c>
      <c r="E104" s="268" t="s">
        <v>220</v>
      </c>
      <c r="F104" s="500">
        <v>55000</v>
      </c>
      <c r="G104" s="500">
        <f t="shared" ref="G104:G115" si="0">F104*D104</f>
        <v>105600.00000000001</v>
      </c>
      <c r="H104" s="505"/>
      <c r="K104" s="272"/>
      <c r="M104" s="485"/>
    </row>
    <row r="105" spans="1:13" s="223" customFormat="1" ht="18">
      <c r="A105" s="226"/>
      <c r="B105" s="245"/>
      <c r="C105" s="266" t="s">
        <v>222</v>
      </c>
      <c r="D105" s="499">
        <f>D102*0.54</f>
        <v>0.17280000000000004</v>
      </c>
      <c r="E105" s="268" t="s">
        <v>215</v>
      </c>
      <c r="F105" s="500">
        <v>380000</v>
      </c>
      <c r="G105" s="500">
        <f t="shared" si="0"/>
        <v>65664.000000000015</v>
      </c>
      <c r="H105" s="505"/>
      <c r="K105" s="272"/>
      <c r="M105" s="485"/>
    </row>
    <row r="106" spans="1:13" s="223" customFormat="1" ht="18">
      <c r="A106" s="226"/>
      <c r="B106" s="245"/>
      <c r="C106" s="266" t="s">
        <v>224</v>
      </c>
      <c r="D106" s="499">
        <f>D102*0.82</f>
        <v>0.26240000000000002</v>
      </c>
      <c r="E106" s="268" t="s">
        <v>215</v>
      </c>
      <c r="F106" s="500">
        <v>280000</v>
      </c>
      <c r="G106" s="500">
        <f t="shared" si="0"/>
        <v>73472</v>
      </c>
      <c r="H106" s="505"/>
      <c r="K106" s="272"/>
      <c r="M106" s="485"/>
    </row>
    <row r="107" spans="1:13" s="223" customFormat="1" ht="15.75">
      <c r="A107" s="226"/>
      <c r="B107" s="245"/>
      <c r="C107" s="266" t="s">
        <v>226</v>
      </c>
      <c r="D107" s="499">
        <v>3.4</v>
      </c>
      <c r="E107" s="268" t="s">
        <v>20</v>
      </c>
      <c r="F107" s="500">
        <v>100000</v>
      </c>
      <c r="G107" s="500">
        <f t="shared" si="0"/>
        <v>340000</v>
      </c>
      <c r="H107" s="505"/>
      <c r="K107" s="272"/>
      <c r="M107" s="485"/>
    </row>
    <row r="108" spans="1:13" s="223" customFormat="1" ht="15.75">
      <c r="A108" s="226"/>
      <c r="B108" s="245"/>
      <c r="C108" s="266" t="s">
        <v>239</v>
      </c>
      <c r="D108" s="499">
        <v>2.7</v>
      </c>
      <c r="E108" s="268" t="s">
        <v>20</v>
      </c>
      <c r="F108" s="500">
        <v>42000</v>
      </c>
      <c r="G108" s="500">
        <f t="shared" si="0"/>
        <v>113400.00000000001</v>
      </c>
      <c r="H108" s="505"/>
      <c r="K108" s="272"/>
      <c r="M108" s="485"/>
    </row>
    <row r="109" spans="1:13" s="223" customFormat="1" ht="15.75">
      <c r="A109" s="226"/>
      <c r="B109" s="245"/>
      <c r="C109" s="266" t="s">
        <v>240</v>
      </c>
      <c r="D109" s="499">
        <v>1</v>
      </c>
      <c r="E109" s="268" t="s">
        <v>241</v>
      </c>
      <c r="F109" s="500">
        <v>100000</v>
      </c>
      <c r="G109" s="500">
        <f t="shared" si="0"/>
        <v>100000</v>
      </c>
      <c r="H109" s="505"/>
      <c r="K109" s="272"/>
      <c r="M109" s="485"/>
    </row>
    <row r="110" spans="1:13" s="223" customFormat="1" ht="15.75">
      <c r="A110" s="226"/>
      <c r="B110" s="245"/>
      <c r="C110" s="266" t="s">
        <v>242</v>
      </c>
      <c r="D110" s="499">
        <f>D102*2.5</f>
        <v>0.80000000000000016</v>
      </c>
      <c r="E110" s="268" t="s">
        <v>17</v>
      </c>
      <c r="F110" s="500">
        <v>20000</v>
      </c>
      <c r="G110" s="500">
        <f t="shared" si="0"/>
        <v>16000.000000000004</v>
      </c>
      <c r="H110" s="505"/>
      <c r="K110" s="272"/>
      <c r="M110" s="485"/>
    </row>
    <row r="111" spans="1:13" s="223" customFormat="1" ht="15.75">
      <c r="A111" s="226"/>
      <c r="B111" s="245"/>
      <c r="C111" s="266" t="s">
        <v>243</v>
      </c>
      <c r="D111" s="499">
        <v>5.6000000000000001E-2</v>
      </c>
      <c r="E111" s="268" t="s">
        <v>15</v>
      </c>
      <c r="F111" s="500">
        <v>2500000</v>
      </c>
      <c r="G111" s="500">
        <f t="shared" si="0"/>
        <v>140000</v>
      </c>
      <c r="H111" s="505"/>
      <c r="K111" s="272"/>
      <c r="M111" s="485"/>
    </row>
    <row r="112" spans="1:13" s="223" customFormat="1" ht="15.75">
      <c r="A112" s="226"/>
      <c r="B112" s="245"/>
      <c r="C112" s="266" t="s">
        <v>244</v>
      </c>
      <c r="D112" s="499">
        <f>D102*2</f>
        <v>0.64000000000000012</v>
      </c>
      <c r="E112" s="268" t="s">
        <v>17</v>
      </c>
      <c r="F112" s="500">
        <v>18000</v>
      </c>
      <c r="G112" s="500">
        <f t="shared" si="0"/>
        <v>11520.000000000002</v>
      </c>
      <c r="H112" s="505"/>
      <c r="K112" s="272"/>
      <c r="M112" s="485"/>
    </row>
    <row r="113" spans="1:13" s="223" customFormat="1" ht="15.75">
      <c r="A113" s="226"/>
      <c r="B113" s="245"/>
      <c r="C113" s="266" t="s">
        <v>245</v>
      </c>
      <c r="D113" s="502">
        <f>0.3*0.12*3</f>
        <v>0.10799999999999998</v>
      </c>
      <c r="E113" s="281" t="s">
        <v>14</v>
      </c>
      <c r="F113" s="503">
        <v>20000</v>
      </c>
      <c r="G113" s="503">
        <f t="shared" si="0"/>
        <v>2159.9999999999995</v>
      </c>
      <c r="H113" s="505"/>
      <c r="K113" s="272"/>
      <c r="M113" s="485"/>
    </row>
    <row r="114" spans="1:13" s="223" customFormat="1" ht="15.75">
      <c r="A114" s="226"/>
      <c r="B114" s="245"/>
      <c r="C114" s="266" t="s">
        <v>228</v>
      </c>
      <c r="D114" s="502">
        <f>(12.5*D107)+(4.73*D108)</f>
        <v>55.271000000000001</v>
      </c>
      <c r="E114" s="281" t="s">
        <v>17</v>
      </c>
      <c r="F114" s="507">
        <v>3000</v>
      </c>
      <c r="G114" s="503">
        <f t="shared" si="0"/>
        <v>165813</v>
      </c>
      <c r="H114" s="505"/>
      <c r="K114" s="272"/>
      <c r="M114" s="485"/>
    </row>
    <row r="115" spans="1:13" s="223" customFormat="1" ht="18">
      <c r="A115" s="226"/>
      <c r="B115" s="245"/>
      <c r="C115" s="279" t="s">
        <v>229</v>
      </c>
      <c r="D115" s="502">
        <f>D102*1</f>
        <v>0.32000000000000006</v>
      </c>
      <c r="E115" s="281" t="s">
        <v>215</v>
      </c>
      <c r="F115" s="507">
        <v>300000</v>
      </c>
      <c r="G115" s="503">
        <f t="shared" si="0"/>
        <v>96000.000000000015</v>
      </c>
      <c r="H115" s="505"/>
      <c r="K115" s="272"/>
      <c r="M115" s="485"/>
    </row>
    <row r="116" spans="1:13" s="223" customFormat="1" ht="15.75">
      <c r="A116" s="226"/>
      <c r="B116" s="245"/>
      <c r="C116" s="1146" t="s">
        <v>246</v>
      </c>
      <c r="D116" s="1147"/>
      <c r="E116" s="1147"/>
      <c r="F116" s="1147"/>
      <c r="G116" s="508">
        <f>SUM(G104:G115)</f>
        <v>1229629</v>
      </c>
      <c r="H116" s="505">
        <f>G116/D102</f>
        <v>3842590.6249999991</v>
      </c>
      <c r="K116" s="272"/>
      <c r="M116" s="485"/>
    </row>
    <row r="117" spans="1:13" s="223" customFormat="1" ht="15.75">
      <c r="A117" s="226"/>
      <c r="B117" s="245"/>
      <c r="C117" s="296"/>
      <c r="D117" s="296"/>
      <c r="E117" s="296"/>
      <c r="F117" s="296"/>
      <c r="G117" s="509"/>
      <c r="H117" s="506"/>
      <c r="K117" s="272"/>
      <c r="M117" s="485"/>
    </row>
    <row r="118" spans="1:13" s="223" customFormat="1" ht="15.75">
      <c r="A118" s="226"/>
      <c r="B118" s="245"/>
      <c r="C118" s="296" t="s">
        <v>248</v>
      </c>
      <c r="D118" s="296">
        <v>0.2</v>
      </c>
      <c r="E118" s="296">
        <v>0.4</v>
      </c>
      <c r="F118" s="296">
        <v>3</v>
      </c>
      <c r="G118" s="509">
        <v>20</v>
      </c>
      <c r="H118" s="510">
        <f>G118*F118*E118*D118</f>
        <v>4.8000000000000007</v>
      </c>
      <c r="K118" s="272"/>
      <c r="M118" s="485"/>
    </row>
    <row r="119" spans="1:13" s="223" customFormat="1" ht="15.75">
      <c r="A119" s="226"/>
      <c r="B119" s="245"/>
      <c r="C119" s="246"/>
      <c r="D119" s="246" t="s">
        <v>301</v>
      </c>
      <c r="E119" s="246" t="s">
        <v>453</v>
      </c>
      <c r="F119" s="246" t="s">
        <v>21</v>
      </c>
      <c r="G119" s="511"/>
      <c r="H119" s="510"/>
      <c r="K119" s="272"/>
      <c r="M119" s="485"/>
    </row>
    <row r="120" spans="1:13" s="223" customFormat="1" ht="15.75">
      <c r="A120" s="226"/>
      <c r="B120" s="245"/>
      <c r="C120" s="296" t="s">
        <v>454</v>
      </c>
      <c r="D120" s="246">
        <v>11250</v>
      </c>
      <c r="E120" s="246">
        <v>220</v>
      </c>
      <c r="F120" s="246">
        <v>1</v>
      </c>
      <c r="G120" s="511">
        <f>F120*E120*D120</f>
        <v>2475000</v>
      </c>
      <c r="H120" s="510"/>
      <c r="K120" s="272"/>
      <c r="M120" s="485"/>
    </row>
    <row r="121" spans="1:13" s="223" customFormat="1" ht="15.75">
      <c r="A121" s="226"/>
      <c r="B121" s="245"/>
      <c r="C121" s="246" t="s">
        <v>229</v>
      </c>
      <c r="D121" s="246">
        <v>4000</v>
      </c>
      <c r="E121" s="246">
        <f>E120</f>
        <v>220</v>
      </c>
      <c r="F121" s="246">
        <v>1</v>
      </c>
      <c r="G121" s="511">
        <f>F121*E121*D121</f>
        <v>880000</v>
      </c>
      <c r="H121" s="510"/>
      <c r="K121" s="272"/>
      <c r="M121" s="485"/>
    </row>
    <row r="122" spans="1:13" s="223" customFormat="1" ht="15.75">
      <c r="A122" s="226"/>
      <c r="B122" s="245"/>
      <c r="C122" s="296" t="s">
        <v>450</v>
      </c>
      <c r="D122" s="296"/>
      <c r="E122" s="296"/>
      <c r="F122" s="296"/>
      <c r="G122" s="509"/>
      <c r="H122" s="510">
        <f>SUM(G120:G121)</f>
        <v>3355000</v>
      </c>
      <c r="K122" s="272"/>
      <c r="M122" s="485"/>
    </row>
    <row r="123" spans="1:13" s="223" customFormat="1" ht="15.75">
      <c r="A123" s="226"/>
      <c r="B123" s="245"/>
      <c r="C123" s="296" t="s">
        <v>455</v>
      </c>
      <c r="D123" s="296">
        <f>D120</f>
        <v>11250</v>
      </c>
      <c r="E123" s="296">
        <v>440</v>
      </c>
      <c r="F123" s="296">
        <f>150.6/12</f>
        <v>12.549999999999999</v>
      </c>
      <c r="G123" s="511">
        <f>F123*E123*D123</f>
        <v>62122499.999999993</v>
      </c>
      <c r="H123" s="510"/>
      <c r="K123" s="272"/>
      <c r="M123" s="485"/>
    </row>
    <row r="124" spans="1:13" s="223" customFormat="1" ht="15.75">
      <c r="A124" s="226"/>
      <c r="B124" s="245"/>
      <c r="C124" s="296" t="s">
        <v>229</v>
      </c>
      <c r="D124" s="296">
        <v>4000</v>
      </c>
      <c r="E124" s="296">
        <f>E123*F123</f>
        <v>5521.9999999999991</v>
      </c>
      <c r="F124" s="296">
        <v>1</v>
      </c>
      <c r="G124" s="511">
        <f>F124*E124*D124</f>
        <v>22087999.999999996</v>
      </c>
      <c r="H124" s="510"/>
      <c r="K124" s="272"/>
      <c r="M124" s="485"/>
    </row>
    <row r="125" spans="1:13" s="223" customFormat="1" ht="15.75">
      <c r="A125" s="226"/>
      <c r="B125" s="245"/>
      <c r="C125" s="296" t="s">
        <v>450</v>
      </c>
      <c r="D125" s="296"/>
      <c r="E125" s="296"/>
      <c r="F125" s="296"/>
      <c r="G125" s="509"/>
      <c r="H125" s="510">
        <f>SUM(G123:G124)</f>
        <v>84210499.999999985</v>
      </c>
      <c r="K125" s="272"/>
      <c r="M125" s="485"/>
    </row>
    <row r="126" spans="1:13" s="223" customFormat="1" ht="15.75">
      <c r="A126" s="226"/>
      <c r="B126" s="245"/>
      <c r="C126" s="296"/>
      <c r="D126" s="296"/>
      <c r="E126" s="296"/>
      <c r="F126" s="296"/>
      <c r="G126" s="509"/>
      <c r="H126" s="510"/>
      <c r="K126" s="272"/>
      <c r="M126" s="485"/>
    </row>
    <row r="127" spans="1:13" s="223" customFormat="1" ht="15.75">
      <c r="A127" s="226"/>
      <c r="B127" s="245"/>
      <c r="C127" s="296" t="s">
        <v>456</v>
      </c>
      <c r="D127" s="246">
        <v>2.85</v>
      </c>
      <c r="E127" s="246">
        <v>4</v>
      </c>
      <c r="F127" s="246">
        <f>E127*D127</f>
        <v>11.4</v>
      </c>
      <c r="G127" s="509"/>
      <c r="H127" s="510"/>
      <c r="K127" s="272"/>
      <c r="M127" s="485"/>
    </row>
    <row r="128" spans="1:13" s="223" customFormat="1" ht="15.75">
      <c r="A128" s="226"/>
      <c r="B128" s="245"/>
      <c r="C128" s="296"/>
      <c r="D128" s="246">
        <v>2.31</v>
      </c>
      <c r="E128" s="246">
        <v>4</v>
      </c>
      <c r="F128" s="246">
        <f>E128*D128</f>
        <v>9.24</v>
      </c>
      <c r="G128" s="509"/>
      <c r="H128" s="510"/>
      <c r="K128" s="272"/>
      <c r="M128" s="485"/>
    </row>
    <row r="129" spans="1:15" s="223" customFormat="1" ht="15.75">
      <c r="A129" s="226"/>
      <c r="B129" s="245"/>
      <c r="C129" s="296"/>
      <c r="D129" s="296"/>
      <c r="E129" s="296"/>
      <c r="F129" s="296"/>
      <c r="G129" s="512">
        <f>SUM(F127:F128)</f>
        <v>20.64</v>
      </c>
      <c r="H129" s="510" t="s">
        <v>254</v>
      </c>
      <c r="K129" s="272"/>
      <c r="M129" s="485"/>
    </row>
    <row r="130" spans="1:15" s="223" customFormat="1" ht="15.75">
      <c r="A130" s="226"/>
      <c r="B130" s="245"/>
      <c r="C130" s="296" t="s">
        <v>457</v>
      </c>
      <c r="D130" s="246">
        <f>0.73*3</f>
        <v>2.19</v>
      </c>
      <c r="E130" s="246">
        <f>0.65*6</f>
        <v>3.9000000000000004</v>
      </c>
      <c r="F130" s="296"/>
      <c r="G130" s="512">
        <f>E130+D130</f>
        <v>6.09</v>
      </c>
      <c r="H130" s="510" t="s">
        <v>14</v>
      </c>
      <c r="K130" s="272"/>
      <c r="M130" s="485"/>
    </row>
    <row r="131" spans="1:15" s="223" customFormat="1" ht="15.75">
      <c r="A131" s="226"/>
      <c r="B131" s="245"/>
      <c r="C131" s="296"/>
      <c r="D131" s="296"/>
      <c r="E131" s="296"/>
      <c r="F131" s="296"/>
      <c r="G131" s="509"/>
      <c r="H131" s="510"/>
      <c r="K131" s="272"/>
      <c r="M131" s="485"/>
    </row>
    <row r="132" spans="1:15" s="223" customFormat="1" ht="15.75">
      <c r="A132" s="226"/>
      <c r="B132" s="245"/>
      <c r="C132" s="296" t="s">
        <v>458</v>
      </c>
      <c r="D132" s="296">
        <v>2.74</v>
      </c>
      <c r="E132" s="296">
        <v>4</v>
      </c>
      <c r="F132" s="246">
        <f>E132*D132</f>
        <v>10.96</v>
      </c>
      <c r="G132" s="509"/>
      <c r="H132" s="510"/>
      <c r="K132" s="272"/>
      <c r="M132" s="485"/>
    </row>
    <row r="133" spans="1:15" s="223" customFormat="1" ht="15.75">
      <c r="A133" s="226"/>
      <c r="B133" s="245"/>
      <c r="C133" s="296"/>
      <c r="D133" s="296">
        <v>2.31</v>
      </c>
      <c r="E133" s="296">
        <v>4</v>
      </c>
      <c r="F133" s="246">
        <f>E133*D133</f>
        <v>9.24</v>
      </c>
      <c r="G133" s="509"/>
      <c r="H133" s="510"/>
      <c r="K133" s="272"/>
      <c r="M133" s="485"/>
    </row>
    <row r="134" spans="1:15" s="223" customFormat="1" ht="15.75">
      <c r="A134" s="226"/>
      <c r="B134" s="245"/>
      <c r="C134" s="296"/>
      <c r="D134" s="296"/>
      <c r="E134" s="296"/>
      <c r="F134" s="296"/>
      <c r="G134" s="512">
        <f>SUM(F132:F133)</f>
        <v>20.200000000000003</v>
      </c>
      <c r="H134" s="510" t="s">
        <v>254</v>
      </c>
      <c r="K134" s="272"/>
      <c r="M134" s="485"/>
    </row>
    <row r="135" spans="1:15" s="223" customFormat="1" ht="15.75">
      <c r="A135" s="226"/>
      <c r="B135" s="245"/>
      <c r="C135" s="296" t="s">
        <v>459</v>
      </c>
      <c r="D135" s="296">
        <v>0.65</v>
      </c>
      <c r="E135" s="296">
        <v>9</v>
      </c>
      <c r="F135" s="296"/>
      <c r="G135" s="512">
        <f>E135*D135</f>
        <v>5.8500000000000005</v>
      </c>
      <c r="H135" s="510" t="s">
        <v>14</v>
      </c>
      <c r="K135" s="272"/>
      <c r="M135" s="485"/>
    </row>
    <row r="136" spans="1:15" s="223" customFormat="1" ht="15.75">
      <c r="A136" s="226"/>
      <c r="B136" s="245"/>
      <c r="C136" s="296"/>
      <c r="D136" s="296"/>
      <c r="E136" s="296"/>
      <c r="F136" s="296"/>
      <c r="G136" s="512"/>
      <c r="H136" s="510"/>
      <c r="K136" s="272"/>
      <c r="M136" s="485"/>
    </row>
    <row r="137" spans="1:15" s="223" customFormat="1" ht="15.75">
      <c r="A137" s="226"/>
      <c r="B137" s="245"/>
      <c r="C137" s="296" t="s">
        <v>460</v>
      </c>
      <c r="D137" s="296">
        <v>1.3</v>
      </c>
      <c r="E137" s="296">
        <v>4</v>
      </c>
      <c r="F137" s="246">
        <f>E137*D137</f>
        <v>5.2</v>
      </c>
      <c r="G137" s="512"/>
      <c r="H137" s="510"/>
      <c r="K137" s="272"/>
      <c r="M137" s="485"/>
    </row>
    <row r="138" spans="1:15" s="223" customFormat="1" ht="15.75">
      <c r="A138" s="226"/>
      <c r="B138" s="245"/>
      <c r="C138" s="296"/>
      <c r="D138" s="296">
        <v>2.21</v>
      </c>
      <c r="E138" s="296">
        <v>4</v>
      </c>
      <c r="F138" s="246">
        <f>E138*D138</f>
        <v>8.84</v>
      </c>
      <c r="G138" s="512"/>
      <c r="H138" s="510"/>
      <c r="K138" s="272"/>
      <c r="M138" s="485"/>
    </row>
    <row r="139" spans="1:15" s="223" customFormat="1" ht="15.75">
      <c r="A139" s="226"/>
      <c r="B139" s="245"/>
      <c r="C139" s="296"/>
      <c r="D139" s="296"/>
      <c r="E139" s="296"/>
      <c r="F139" s="296"/>
      <c r="G139" s="512">
        <f>SUM(F137:F138)</f>
        <v>14.04</v>
      </c>
      <c r="H139" s="510" t="s">
        <v>254</v>
      </c>
      <c r="K139" s="272"/>
      <c r="M139" s="485"/>
    </row>
    <row r="140" spans="1:15" s="223" customFormat="1" ht="15.75">
      <c r="A140" s="226"/>
      <c r="B140" s="245"/>
      <c r="C140" s="296" t="s">
        <v>461</v>
      </c>
      <c r="D140" s="296">
        <v>0.28000000000000003</v>
      </c>
      <c r="E140" s="296">
        <v>9</v>
      </c>
      <c r="F140" s="296"/>
      <c r="G140" s="512">
        <f>E140*D140</f>
        <v>2.5200000000000005</v>
      </c>
      <c r="H140" s="510" t="s">
        <v>14</v>
      </c>
      <c r="K140" s="272"/>
      <c r="M140" s="485"/>
    </row>
    <row r="141" spans="1:15" s="223" customFormat="1" ht="18">
      <c r="A141" s="226"/>
      <c r="B141" s="245"/>
      <c r="C141" s="296"/>
      <c r="D141" s="296"/>
      <c r="E141" s="296"/>
      <c r="F141" s="296"/>
      <c r="G141" s="512"/>
      <c r="H141" s="510"/>
      <c r="J141" s="257" t="s">
        <v>462</v>
      </c>
      <c r="K141" s="495">
        <f>0.6*0.6*0.7</f>
        <v>0.252</v>
      </c>
      <c r="L141" s="259" t="s">
        <v>215</v>
      </c>
      <c r="M141" s="496"/>
      <c r="N141" s="497"/>
      <c r="O141" s="270"/>
    </row>
    <row r="142" spans="1:15" s="223" customFormat="1" ht="15.75">
      <c r="A142" s="226"/>
      <c r="B142" s="245"/>
      <c r="C142" s="296" t="s">
        <v>463</v>
      </c>
      <c r="D142" s="296">
        <v>2.31</v>
      </c>
      <c r="E142" s="296">
        <v>9</v>
      </c>
      <c r="F142" s="246">
        <f>E142*D142</f>
        <v>20.79</v>
      </c>
      <c r="G142" s="512"/>
      <c r="H142" s="510"/>
      <c r="J142" s="266" t="s">
        <v>219</v>
      </c>
      <c r="K142" s="499">
        <f>K141*6</f>
        <v>1.512</v>
      </c>
      <c r="L142" s="268" t="s">
        <v>220</v>
      </c>
      <c r="M142" s="500">
        <v>55000</v>
      </c>
      <c r="N142" s="500">
        <f>K142*M142</f>
        <v>83160</v>
      </c>
      <c r="O142" s="315"/>
    </row>
    <row r="143" spans="1:15" s="223" customFormat="1" ht="18">
      <c r="A143" s="226"/>
      <c r="B143" s="245"/>
      <c r="C143" s="296"/>
      <c r="D143" s="296">
        <v>9.92</v>
      </c>
      <c r="E143" s="296">
        <v>4</v>
      </c>
      <c r="F143" s="246">
        <f>E143*D143</f>
        <v>39.68</v>
      </c>
      <c r="G143" s="512"/>
      <c r="H143" s="510"/>
      <c r="J143" s="266" t="s">
        <v>222</v>
      </c>
      <c r="K143" s="499">
        <f>K141*0.52</f>
        <v>0.13104000000000002</v>
      </c>
      <c r="L143" s="268" t="s">
        <v>215</v>
      </c>
      <c r="M143" s="500">
        <v>380000</v>
      </c>
      <c r="N143" s="500">
        <f>K143*M143</f>
        <v>49795.200000000004</v>
      </c>
      <c r="O143" s="315"/>
    </row>
    <row r="144" spans="1:15" s="223" customFormat="1" ht="18">
      <c r="A144" s="226"/>
      <c r="B144" s="245"/>
      <c r="C144" s="296"/>
      <c r="D144" s="296"/>
      <c r="E144" s="296"/>
      <c r="F144" s="296"/>
      <c r="G144" s="512">
        <f>SUM(F142:F143)</f>
        <v>60.47</v>
      </c>
      <c r="H144" s="510" t="s">
        <v>254</v>
      </c>
      <c r="J144" s="266" t="s">
        <v>224</v>
      </c>
      <c r="K144" s="499">
        <f>K141*0.82</f>
        <v>0.20663999999999999</v>
      </c>
      <c r="L144" s="268" t="s">
        <v>215</v>
      </c>
      <c r="M144" s="500">
        <v>310000</v>
      </c>
      <c r="N144" s="500">
        <f>K144*M144</f>
        <v>64058.399999999994</v>
      </c>
      <c r="O144" s="315"/>
    </row>
    <row r="145" spans="1:15" s="223" customFormat="1" ht="15.75">
      <c r="A145" s="226"/>
      <c r="B145" s="245"/>
      <c r="C145" s="296" t="s">
        <v>464</v>
      </c>
      <c r="D145" s="296">
        <v>0.91</v>
      </c>
      <c r="E145" s="296">
        <v>24</v>
      </c>
      <c r="F145" s="296"/>
      <c r="G145" s="512">
        <f>E145*D145</f>
        <v>21.84</v>
      </c>
      <c r="H145" s="510" t="s">
        <v>14</v>
      </c>
      <c r="J145" s="266" t="s">
        <v>465</v>
      </c>
      <c r="K145" s="499">
        <f>2.5*6/12</f>
        <v>1.25</v>
      </c>
      <c r="L145" s="268" t="s">
        <v>20</v>
      </c>
      <c r="M145" s="501">
        <v>120000</v>
      </c>
      <c r="N145" s="500">
        <f>M145*K145</f>
        <v>150000</v>
      </c>
      <c r="O145" s="315"/>
    </row>
    <row r="146" spans="1:15" s="223" customFormat="1" ht="15.75">
      <c r="A146" s="226"/>
      <c r="B146" s="245"/>
      <c r="C146" s="296"/>
      <c r="D146" s="296"/>
      <c r="E146" s="296"/>
      <c r="F146" s="296"/>
      <c r="G146" s="512"/>
      <c r="H146" s="510"/>
      <c r="J146" s="223" t="s">
        <v>466</v>
      </c>
      <c r="K146" s="499">
        <f>2.5*6/12</f>
        <v>1.25</v>
      </c>
      <c r="L146" s="513" t="s">
        <v>20</v>
      </c>
      <c r="M146" s="223">
        <v>175000</v>
      </c>
      <c r="N146" s="500">
        <f>M146*K146</f>
        <v>218750</v>
      </c>
      <c r="O146" s="315"/>
    </row>
    <row r="147" spans="1:15" s="223" customFormat="1" ht="15.75">
      <c r="A147" s="226"/>
      <c r="B147" s="245"/>
      <c r="C147" s="296"/>
      <c r="D147" s="296"/>
      <c r="E147" s="296"/>
      <c r="F147" s="296"/>
      <c r="G147" s="512"/>
      <c r="H147" s="510"/>
      <c r="J147" s="266" t="s">
        <v>227</v>
      </c>
      <c r="K147" s="499">
        <f>K148/50</f>
        <v>0.78500000000000003</v>
      </c>
      <c r="L147" s="268" t="s">
        <v>17</v>
      </c>
      <c r="M147" s="500">
        <v>20000</v>
      </c>
      <c r="N147" s="500">
        <f>M147*K147</f>
        <v>15700</v>
      </c>
      <c r="O147" s="315"/>
    </row>
    <row r="148" spans="1:15" s="223" customFormat="1" ht="15.75">
      <c r="A148" s="226"/>
      <c r="B148" s="245"/>
      <c r="C148" s="296"/>
      <c r="D148" s="296"/>
      <c r="E148" s="296"/>
      <c r="F148" s="296"/>
      <c r="G148" s="512"/>
      <c r="H148" s="510"/>
      <c r="J148" s="279" t="s">
        <v>228</v>
      </c>
      <c r="K148" s="502">
        <f>K145*12.5+K146*18.9</f>
        <v>39.25</v>
      </c>
      <c r="L148" s="281" t="s">
        <v>17</v>
      </c>
      <c r="M148" s="503">
        <v>3000</v>
      </c>
      <c r="N148" s="503">
        <f>K148*M148</f>
        <v>117750</v>
      </c>
      <c r="O148" s="315"/>
    </row>
    <row r="149" spans="1:15" s="223" customFormat="1" ht="18">
      <c r="A149" s="226"/>
      <c r="B149" s="245"/>
      <c r="C149" s="296"/>
      <c r="D149" s="296"/>
      <c r="E149" s="296"/>
      <c r="F149" s="296"/>
      <c r="G149" s="512"/>
      <c r="H149" s="510"/>
      <c r="J149" s="514" t="s">
        <v>229</v>
      </c>
      <c r="K149" s="515">
        <f>K141</f>
        <v>0.252</v>
      </c>
      <c r="L149" s="516" t="s">
        <v>215</v>
      </c>
      <c r="M149" s="517">
        <v>300000</v>
      </c>
      <c r="N149" s="517">
        <f>K149*M149</f>
        <v>75600</v>
      </c>
      <c r="O149" s="315"/>
    </row>
    <row r="150" spans="1:15" s="223" customFormat="1" ht="15.75">
      <c r="A150" s="226"/>
      <c r="B150" s="245"/>
      <c r="C150" s="296"/>
      <c r="D150" s="296"/>
      <c r="E150" s="296"/>
      <c r="F150" s="296"/>
      <c r="G150" s="512"/>
      <c r="H150" s="510"/>
      <c r="J150" s="308"/>
      <c r="L150" s="312"/>
      <c r="N150" s="223">
        <f>SUM(N142:N149)</f>
        <v>774813.6</v>
      </c>
      <c r="O150" s="317">
        <f>N150/K141</f>
        <v>3074657.1428571427</v>
      </c>
    </row>
    <row r="151" spans="1:15" s="223" customFormat="1" ht="15.75">
      <c r="A151" s="226"/>
      <c r="B151" s="245"/>
      <c r="C151" s="296"/>
      <c r="D151" s="296"/>
      <c r="E151" s="296"/>
      <c r="F151" s="296"/>
      <c r="G151" s="512"/>
      <c r="H151" s="510"/>
      <c r="J151" s="308"/>
      <c r="L151" s="312"/>
      <c r="N151" s="235"/>
      <c r="O151" s="315"/>
    </row>
    <row r="152" spans="1:15" s="223" customFormat="1" ht="18">
      <c r="A152" s="226"/>
      <c r="B152" s="245"/>
      <c r="C152" s="296"/>
      <c r="D152" s="296"/>
      <c r="E152" s="296"/>
      <c r="F152" s="296"/>
      <c r="G152" s="512"/>
      <c r="H152" s="510"/>
      <c r="J152" s="257" t="s">
        <v>467</v>
      </c>
      <c r="K152" s="495">
        <f>0.6*1.5*0.8</f>
        <v>0.72</v>
      </c>
      <c r="L152" s="259" t="s">
        <v>215</v>
      </c>
      <c r="M152" s="496"/>
      <c r="N152" s="497"/>
      <c r="O152" s="315"/>
    </row>
    <row r="153" spans="1:15" s="223" customFormat="1" ht="15.75">
      <c r="A153" s="226"/>
      <c r="B153" s="245"/>
      <c r="C153" s="296"/>
      <c r="D153" s="296"/>
      <c r="E153" s="296"/>
      <c r="F153" s="296"/>
      <c r="G153" s="512"/>
      <c r="H153" s="510"/>
      <c r="J153" s="266" t="s">
        <v>219</v>
      </c>
      <c r="K153" s="499">
        <f>K152*6</f>
        <v>4.32</v>
      </c>
      <c r="L153" s="268" t="s">
        <v>220</v>
      </c>
      <c r="M153" s="500">
        <v>55000</v>
      </c>
      <c r="N153" s="500">
        <f>K153*M153</f>
        <v>237600.00000000003</v>
      </c>
      <c r="O153" s="315"/>
    </row>
    <row r="154" spans="1:15" s="223" customFormat="1" ht="18">
      <c r="A154" s="226"/>
      <c r="B154" s="245"/>
      <c r="C154" s="296"/>
      <c r="D154" s="296"/>
      <c r="E154" s="296"/>
      <c r="F154" s="296"/>
      <c r="G154" s="512"/>
      <c r="H154" s="510"/>
      <c r="J154" s="266" t="s">
        <v>222</v>
      </c>
      <c r="K154" s="499">
        <f>K152*0.52</f>
        <v>0.37440000000000001</v>
      </c>
      <c r="L154" s="268" t="s">
        <v>215</v>
      </c>
      <c r="M154" s="500">
        <v>380000</v>
      </c>
      <c r="N154" s="500">
        <f>K154*M154</f>
        <v>142272</v>
      </c>
      <c r="O154" s="320"/>
    </row>
    <row r="155" spans="1:15" s="223" customFormat="1" ht="18">
      <c r="A155" s="226"/>
      <c r="B155" s="245"/>
      <c r="C155" s="296"/>
      <c r="D155" s="296"/>
      <c r="E155" s="296"/>
      <c r="F155" s="296"/>
      <c r="G155" s="509"/>
      <c r="H155" s="510"/>
      <c r="J155" s="266" t="s">
        <v>224</v>
      </c>
      <c r="K155" s="499">
        <f>K152*0.82</f>
        <v>0.59039999999999992</v>
      </c>
      <c r="L155" s="268" t="s">
        <v>215</v>
      </c>
      <c r="M155" s="500">
        <v>310000</v>
      </c>
      <c r="N155" s="500">
        <f>K155*M155</f>
        <v>183023.99999999997</v>
      </c>
      <c r="O155" s="320"/>
    </row>
    <row r="156" spans="1:15" s="223" customFormat="1" ht="15.75">
      <c r="A156" s="226"/>
      <c r="B156" s="245"/>
      <c r="C156" s="232"/>
      <c r="E156" s="312"/>
      <c r="F156" s="320"/>
      <c r="G156" s="227"/>
      <c r="H156" s="235"/>
      <c r="J156" s="266" t="s">
        <v>465</v>
      </c>
      <c r="K156" s="499">
        <f>2.5*6/12</f>
        <v>1.25</v>
      </c>
      <c r="L156" s="268" t="s">
        <v>20</v>
      </c>
      <c r="M156" s="501">
        <v>120000</v>
      </c>
      <c r="N156" s="500">
        <f>M156*K156</f>
        <v>150000</v>
      </c>
      <c r="O156" s="320"/>
    </row>
    <row r="157" spans="1:15" s="223" customFormat="1" ht="15.75">
      <c r="A157" s="489"/>
      <c r="B157" s="245"/>
      <c r="C157" s="232"/>
      <c r="E157" s="235"/>
      <c r="G157" s="235"/>
      <c r="H157" s="235"/>
      <c r="J157" s="223" t="s">
        <v>466</v>
      </c>
      <c r="K157" s="499">
        <v>2</v>
      </c>
      <c r="L157" s="513" t="s">
        <v>20</v>
      </c>
      <c r="M157" s="223">
        <v>175000</v>
      </c>
      <c r="N157" s="500">
        <f>M157*K157</f>
        <v>350000</v>
      </c>
      <c r="O157" s="320"/>
    </row>
    <row r="158" spans="1:15" s="223" customFormat="1" ht="15.75">
      <c r="A158" s="226"/>
      <c r="B158" s="245"/>
      <c r="C158" s="232" t="s">
        <v>468</v>
      </c>
      <c r="E158" s="312">
        <v>2</v>
      </c>
      <c r="F158" s="223">
        <v>1.5</v>
      </c>
      <c r="G158" s="312"/>
      <c r="H158" s="312">
        <f>F158*E158</f>
        <v>3</v>
      </c>
      <c r="J158" s="266" t="s">
        <v>227</v>
      </c>
      <c r="K158" s="499">
        <f>K159/50</f>
        <v>1.0685</v>
      </c>
      <c r="L158" s="268" t="s">
        <v>17</v>
      </c>
      <c r="M158" s="500">
        <v>20000</v>
      </c>
      <c r="N158" s="500">
        <f>M158*K158</f>
        <v>21370</v>
      </c>
      <c r="O158" s="320"/>
    </row>
    <row r="159" spans="1:15" s="223" customFormat="1" ht="15.75">
      <c r="A159" s="226"/>
      <c r="B159" s="245"/>
      <c r="C159" s="232"/>
      <c r="E159" s="312">
        <v>3.35</v>
      </c>
      <c r="F159" s="223">
        <v>5.55</v>
      </c>
      <c r="G159" s="312"/>
      <c r="H159" s="312">
        <f>F159*E159</f>
        <v>18.592500000000001</v>
      </c>
      <c r="J159" s="279" t="s">
        <v>228</v>
      </c>
      <c r="K159" s="502">
        <f>K156*12.5+K157*18.9</f>
        <v>53.424999999999997</v>
      </c>
      <c r="L159" s="281" t="s">
        <v>17</v>
      </c>
      <c r="M159" s="503">
        <v>3000</v>
      </c>
      <c r="N159" s="503">
        <f>K159*M159</f>
        <v>160275</v>
      </c>
      <c r="O159" s="320"/>
    </row>
    <row r="160" spans="1:15" s="223" customFormat="1" ht="18">
      <c r="A160" s="226"/>
      <c r="B160" s="245"/>
      <c r="C160" s="232"/>
      <c r="E160" s="235"/>
      <c r="G160" s="235"/>
      <c r="H160" s="235"/>
      <c r="I160" s="235">
        <f>SUM(H158:H159)</f>
        <v>21.592500000000001</v>
      </c>
      <c r="J160" s="514" t="s">
        <v>229</v>
      </c>
      <c r="K160" s="515">
        <f>K152</f>
        <v>0.72</v>
      </c>
      <c r="L160" s="516" t="s">
        <v>215</v>
      </c>
      <c r="M160" s="517">
        <v>300000</v>
      </c>
      <c r="N160" s="517">
        <f>K160*M160</f>
        <v>216000</v>
      </c>
      <c r="O160" s="320"/>
    </row>
    <row r="161" spans="1:15" s="223" customFormat="1" ht="37.5" hidden="1" customHeight="1">
      <c r="A161" s="226"/>
      <c r="B161" s="245"/>
      <c r="D161" s="233"/>
      <c r="G161" s="317"/>
      <c r="H161" s="235"/>
      <c r="I161" s="341"/>
      <c r="J161" s="308"/>
      <c r="L161" s="312"/>
      <c r="N161" s="223">
        <f>SUM(N153:N160)</f>
        <v>1460541</v>
      </c>
      <c r="O161" s="320"/>
    </row>
    <row r="162" spans="1:15" s="223" customFormat="1" ht="37.5" hidden="1" customHeight="1">
      <c r="A162" s="378"/>
      <c r="B162" s="518"/>
      <c r="C162" s="232"/>
      <c r="D162" s="519"/>
      <c r="G162" s="317"/>
      <c r="I162" s="341"/>
      <c r="J162" s="308"/>
      <c r="L162" s="312"/>
      <c r="N162" s="235"/>
      <c r="O162" s="320"/>
    </row>
    <row r="163" spans="1:15" s="223" customFormat="1" ht="37.5" hidden="1" customHeight="1">
      <c r="A163" s="226"/>
      <c r="B163" s="308"/>
      <c r="D163" s="520"/>
      <c r="G163" s="316"/>
      <c r="H163" s="316"/>
      <c r="I163" s="316"/>
      <c r="J163" s="257" t="s">
        <v>469</v>
      </c>
      <c r="K163" s="495">
        <f>1.88*0.8</f>
        <v>1.504</v>
      </c>
      <c r="L163" s="259" t="s">
        <v>215</v>
      </c>
      <c r="M163" s="496"/>
      <c r="N163" s="497"/>
      <c r="O163" s="320"/>
    </row>
    <row r="164" spans="1:15" s="223" customFormat="1" ht="37.5" hidden="1" customHeight="1">
      <c r="A164" s="226"/>
      <c r="B164" s="308"/>
      <c r="D164" s="309"/>
      <c r="G164" s="316"/>
      <c r="H164" s="316"/>
      <c r="I164" s="316"/>
      <c r="J164" s="266" t="s">
        <v>219</v>
      </c>
      <c r="K164" s="499">
        <f>K163*6</f>
        <v>9.0240000000000009</v>
      </c>
      <c r="L164" s="268" t="s">
        <v>220</v>
      </c>
      <c r="M164" s="500">
        <v>55000</v>
      </c>
      <c r="N164" s="500">
        <f>K164*M164</f>
        <v>496320.00000000006</v>
      </c>
      <c r="O164" s="320"/>
    </row>
    <row r="165" spans="1:15" s="223" customFormat="1" ht="37.5" hidden="1" customHeight="1">
      <c r="A165" s="226"/>
      <c r="B165" s="308"/>
      <c r="D165" s="312"/>
      <c r="F165" s="235"/>
      <c r="G165" s="317"/>
      <c r="H165" s="225"/>
      <c r="I165" s="316"/>
      <c r="J165" s="266" t="s">
        <v>222</v>
      </c>
      <c r="K165" s="499">
        <f>K163*0.52</f>
        <v>0.78208</v>
      </c>
      <c r="L165" s="268" t="s">
        <v>215</v>
      </c>
      <c r="M165" s="500">
        <v>380000</v>
      </c>
      <c r="N165" s="500">
        <f>K165*M165</f>
        <v>297190.40000000002</v>
      </c>
      <c r="O165" s="320"/>
    </row>
    <row r="166" spans="1:15" s="223" customFormat="1" ht="37.5" hidden="1" customHeight="1">
      <c r="A166" s="226"/>
      <c r="B166" s="308"/>
      <c r="D166" s="312"/>
      <c r="F166" s="235"/>
      <c r="G166" s="315"/>
      <c r="H166" s="225"/>
      <c r="I166" s="316"/>
      <c r="J166" s="266" t="s">
        <v>224</v>
      </c>
      <c r="K166" s="499">
        <f>K163*0.82</f>
        <v>1.2332799999999999</v>
      </c>
      <c r="L166" s="268" t="s">
        <v>215</v>
      </c>
      <c r="M166" s="500">
        <v>310000</v>
      </c>
      <c r="N166" s="500">
        <f>K166*M166</f>
        <v>382316.79999999999</v>
      </c>
      <c r="O166" s="320"/>
    </row>
    <row r="167" spans="1:15" s="223" customFormat="1" ht="37.5" hidden="1" customHeight="1">
      <c r="A167" s="226"/>
      <c r="B167" s="308"/>
      <c r="D167" s="312"/>
      <c r="F167" s="235"/>
      <c r="G167" s="315"/>
      <c r="H167" s="225"/>
      <c r="I167" s="316"/>
      <c r="J167" s="266" t="s">
        <v>465</v>
      </c>
      <c r="K167" s="499">
        <f>2.5*6/12</f>
        <v>1.25</v>
      </c>
      <c r="L167" s="268" t="s">
        <v>20</v>
      </c>
      <c r="M167" s="501">
        <v>120000</v>
      </c>
      <c r="N167" s="500">
        <f>M167*K167</f>
        <v>150000</v>
      </c>
      <c r="O167" s="320"/>
    </row>
    <row r="168" spans="1:15" s="223" customFormat="1" ht="37.5" hidden="1" customHeight="1">
      <c r="A168" s="226"/>
      <c r="B168" s="308"/>
      <c r="D168" s="312"/>
      <c r="F168" s="235"/>
      <c r="G168" s="315"/>
      <c r="H168" s="225"/>
      <c r="I168" s="316"/>
      <c r="J168" s="223" t="s">
        <v>466</v>
      </c>
      <c r="K168" s="499">
        <f>2.5*6/12</f>
        <v>1.25</v>
      </c>
      <c r="L168" s="513" t="s">
        <v>20</v>
      </c>
      <c r="M168" s="223">
        <v>175000</v>
      </c>
      <c r="N168" s="500">
        <f>M168*K168</f>
        <v>218750</v>
      </c>
      <c r="O168" s="320"/>
    </row>
    <row r="169" spans="1:15" s="223" customFormat="1" ht="37.5" hidden="1" customHeight="1">
      <c r="A169" s="226"/>
      <c r="B169" s="308"/>
      <c r="D169" s="312"/>
      <c r="F169" s="235"/>
      <c r="G169" s="315"/>
      <c r="H169" s="225"/>
      <c r="I169" s="316"/>
      <c r="J169" s="266" t="s">
        <v>227</v>
      </c>
      <c r="K169" s="499">
        <f>K170/50</f>
        <v>0.78500000000000003</v>
      </c>
      <c r="L169" s="268" t="s">
        <v>17</v>
      </c>
      <c r="M169" s="500">
        <v>20000</v>
      </c>
      <c r="N169" s="500">
        <f>M169*K169</f>
        <v>15700</v>
      </c>
      <c r="O169" s="320"/>
    </row>
    <row r="170" spans="1:15" s="223" customFormat="1" ht="37.5" hidden="1" customHeight="1">
      <c r="A170" s="226"/>
      <c r="B170" s="308"/>
      <c r="D170" s="312"/>
      <c r="F170" s="235"/>
      <c r="G170" s="315"/>
      <c r="H170" s="225"/>
      <c r="I170" s="316"/>
      <c r="J170" s="279" t="s">
        <v>228</v>
      </c>
      <c r="K170" s="502">
        <f>K167*12.5+K168*18.9</f>
        <v>39.25</v>
      </c>
      <c r="L170" s="281" t="s">
        <v>17</v>
      </c>
      <c r="M170" s="503">
        <v>3000</v>
      </c>
      <c r="N170" s="503">
        <f>K170*M170</f>
        <v>117750</v>
      </c>
      <c r="O170" s="235"/>
    </row>
    <row r="171" spans="1:15" s="223" customFormat="1" ht="37.5" hidden="1" customHeight="1">
      <c r="A171" s="226"/>
      <c r="B171" s="308"/>
      <c r="D171" s="312"/>
      <c r="F171" s="235"/>
      <c r="G171" s="315"/>
      <c r="H171" s="225"/>
      <c r="I171" s="316"/>
      <c r="J171" s="514" t="s">
        <v>229</v>
      </c>
      <c r="K171" s="515">
        <f>K163</f>
        <v>1.504</v>
      </c>
      <c r="L171" s="516" t="s">
        <v>215</v>
      </c>
      <c r="M171" s="517">
        <v>300000</v>
      </c>
      <c r="N171" s="517">
        <f>K171*M171</f>
        <v>451200</v>
      </c>
      <c r="O171" s="235"/>
    </row>
    <row r="172" spans="1:15" s="223" customFormat="1" ht="37.5" hidden="1" customHeight="1">
      <c r="A172" s="226"/>
      <c r="B172" s="308"/>
      <c r="D172" s="312"/>
      <c r="F172" s="235"/>
      <c r="G172" s="315"/>
      <c r="H172" s="225"/>
      <c r="I172" s="316"/>
      <c r="J172" s="308"/>
      <c r="L172" s="312"/>
      <c r="N172" s="223">
        <f>SUM(N164:N171)</f>
        <v>2129227.2000000002</v>
      </c>
      <c r="O172" s="320"/>
    </row>
    <row r="173" spans="1:15" s="223" customFormat="1" ht="15.75">
      <c r="A173" s="226"/>
      <c r="B173" s="321"/>
      <c r="C173" s="223" t="s">
        <v>470</v>
      </c>
      <c r="E173" s="223">
        <v>15</v>
      </c>
      <c r="F173" s="223">
        <v>4</v>
      </c>
      <c r="G173" s="320">
        <f>H158</f>
        <v>3</v>
      </c>
      <c r="H173" s="225">
        <f>(F173*E173)-G173</f>
        <v>57</v>
      </c>
      <c r="I173" s="225"/>
      <c r="J173" s="321"/>
      <c r="O173" s="505"/>
    </row>
    <row r="174" spans="1:15" s="223" customFormat="1" ht="18">
      <c r="A174" s="226"/>
      <c r="B174" s="321"/>
      <c r="E174" s="223">
        <v>12.65</v>
      </c>
      <c r="F174" s="223">
        <v>4</v>
      </c>
      <c r="G174" s="320"/>
      <c r="H174" s="225">
        <f>F174*E174</f>
        <v>50.6</v>
      </c>
      <c r="I174" s="225"/>
      <c r="J174" s="257" t="s">
        <v>471</v>
      </c>
      <c r="K174" s="495">
        <f>1.5*1.5*0.8</f>
        <v>1.8</v>
      </c>
      <c r="L174" s="259" t="s">
        <v>215</v>
      </c>
      <c r="M174" s="496"/>
      <c r="N174" s="497"/>
      <c r="O174" s="505"/>
    </row>
    <row r="175" spans="1:15" s="223" customFormat="1" ht="15.75">
      <c r="A175" s="226"/>
      <c r="B175" s="321"/>
      <c r="E175" s="223">
        <v>1.6</v>
      </c>
      <c r="F175" s="223">
        <v>5.5</v>
      </c>
      <c r="G175" s="320"/>
      <c r="H175" s="225">
        <f>F175*E175</f>
        <v>8.8000000000000007</v>
      </c>
      <c r="I175" s="225"/>
      <c r="J175" s="266" t="s">
        <v>219</v>
      </c>
      <c r="K175" s="499">
        <f>K174*6</f>
        <v>10.8</v>
      </c>
      <c r="L175" s="268" t="s">
        <v>220</v>
      </c>
      <c r="M175" s="500">
        <v>55000</v>
      </c>
      <c r="N175" s="500">
        <f>K175*M175</f>
        <v>594000</v>
      </c>
      <c r="O175" s="505"/>
    </row>
    <row r="176" spans="1:15" s="223" customFormat="1" ht="18">
      <c r="A176" s="226"/>
      <c r="B176" s="321"/>
      <c r="E176" s="223">
        <v>12.65</v>
      </c>
      <c r="F176" s="223">
        <v>5.5</v>
      </c>
      <c r="G176" s="320"/>
      <c r="H176" s="225">
        <f>F176*E176</f>
        <v>69.575000000000003</v>
      </c>
      <c r="I176" s="225"/>
      <c r="J176" s="266" t="s">
        <v>222</v>
      </c>
      <c r="K176" s="499">
        <f>K174*0.52</f>
        <v>0.93600000000000005</v>
      </c>
      <c r="L176" s="268" t="s">
        <v>215</v>
      </c>
      <c r="M176" s="500">
        <v>380000</v>
      </c>
      <c r="N176" s="500">
        <f>K176*M176</f>
        <v>355680</v>
      </c>
      <c r="O176" s="505"/>
    </row>
    <row r="177" spans="1:15" s="223" customFormat="1" ht="18">
      <c r="A177" s="226"/>
      <c r="B177" s="321"/>
      <c r="I177" s="225">
        <f>SUM(H173:H176)</f>
        <v>185.97499999999999</v>
      </c>
      <c r="J177" s="266" t="s">
        <v>224</v>
      </c>
      <c r="K177" s="499">
        <f>K174*0.82</f>
        <v>1.476</v>
      </c>
      <c r="L177" s="268" t="s">
        <v>215</v>
      </c>
      <c r="M177" s="500">
        <v>310000</v>
      </c>
      <c r="N177" s="500">
        <f>K177*M177</f>
        <v>457560</v>
      </c>
      <c r="O177" s="505"/>
    </row>
    <row r="178" spans="1:15" s="223" customFormat="1" ht="15.75">
      <c r="A178" s="226"/>
      <c r="B178" s="321"/>
      <c r="C178" s="223" t="s">
        <v>472</v>
      </c>
      <c r="E178" s="223">
        <v>12.65</v>
      </c>
      <c r="F178" s="235">
        <v>4</v>
      </c>
      <c r="G178" s="320"/>
      <c r="H178" s="225">
        <f>F178*E178</f>
        <v>50.6</v>
      </c>
      <c r="I178" s="225"/>
      <c r="J178" s="266" t="s">
        <v>465</v>
      </c>
      <c r="K178" s="499">
        <v>5</v>
      </c>
      <c r="L178" s="268" t="s">
        <v>20</v>
      </c>
      <c r="M178" s="501">
        <v>120000</v>
      </c>
      <c r="N178" s="500">
        <f>M178*K178</f>
        <v>600000</v>
      </c>
      <c r="O178" s="505"/>
    </row>
    <row r="179" spans="1:15" s="223" customFormat="1" ht="15.75">
      <c r="A179" s="226"/>
      <c r="B179" s="321"/>
      <c r="E179" s="223">
        <v>15</v>
      </c>
      <c r="F179" s="223">
        <v>4</v>
      </c>
      <c r="G179" s="320"/>
      <c r="H179" s="225">
        <f>F179*E179</f>
        <v>60</v>
      </c>
      <c r="I179" s="225"/>
      <c r="J179" s="223" t="s">
        <v>466</v>
      </c>
      <c r="K179" s="499">
        <v>5</v>
      </c>
      <c r="L179" s="513" t="s">
        <v>20</v>
      </c>
      <c r="M179" s="223">
        <v>175000</v>
      </c>
      <c r="N179" s="500">
        <f>M179*K179</f>
        <v>875000</v>
      </c>
      <c r="O179" s="505"/>
    </row>
    <row r="180" spans="1:15" s="223" customFormat="1" ht="15.75">
      <c r="A180" s="226"/>
      <c r="B180" s="321"/>
      <c r="G180" s="320"/>
      <c r="H180" s="225"/>
      <c r="I180" s="225">
        <f>SUM(H178:H179)</f>
        <v>110.6</v>
      </c>
      <c r="J180" s="266" t="s">
        <v>227</v>
      </c>
      <c r="K180" s="499">
        <f>K181/50</f>
        <v>3.14</v>
      </c>
      <c r="L180" s="268" t="s">
        <v>17</v>
      </c>
      <c r="M180" s="500">
        <v>20000</v>
      </c>
      <c r="N180" s="500">
        <f>M180*K180</f>
        <v>62800</v>
      </c>
      <c r="O180" s="505"/>
    </row>
    <row r="181" spans="1:15" s="223" customFormat="1" ht="15.75">
      <c r="A181" s="226"/>
      <c r="B181" s="321"/>
      <c r="C181" s="223" t="s">
        <v>473</v>
      </c>
      <c r="G181" s="320"/>
      <c r="H181" s="225"/>
      <c r="I181" s="225"/>
      <c r="J181" s="279" t="s">
        <v>228</v>
      </c>
      <c r="K181" s="502">
        <f>K178*12.5+K179*18.9</f>
        <v>157</v>
      </c>
      <c r="L181" s="281" t="s">
        <v>17</v>
      </c>
      <c r="M181" s="503">
        <v>3000</v>
      </c>
      <c r="N181" s="503">
        <f>K181*M181</f>
        <v>471000</v>
      </c>
      <c r="O181" s="505"/>
    </row>
    <row r="182" spans="1:15" s="223" customFormat="1" ht="18">
      <c r="A182" s="226"/>
      <c r="B182" s="321"/>
      <c r="G182" s="320"/>
      <c r="H182" s="225"/>
      <c r="I182" s="225"/>
      <c r="J182" s="514" t="s">
        <v>229</v>
      </c>
      <c r="K182" s="515">
        <f>K174</f>
        <v>1.8</v>
      </c>
      <c r="L182" s="516" t="s">
        <v>215</v>
      </c>
      <c r="M182" s="517">
        <v>300000</v>
      </c>
      <c r="N182" s="517">
        <f>K182*M182</f>
        <v>540000</v>
      </c>
      <c r="O182" s="505"/>
    </row>
    <row r="183" spans="1:15" s="223" customFormat="1" ht="15.75">
      <c r="A183" s="226"/>
      <c r="B183" s="321"/>
      <c r="C183" s="245"/>
      <c r="F183" s="322"/>
      <c r="I183" s="225"/>
      <c r="J183" s="308"/>
      <c r="L183" s="312"/>
      <c r="N183" s="223">
        <f>SUM(N175:N182)</f>
        <v>3956040</v>
      </c>
      <c r="O183" s="505"/>
    </row>
    <row r="184" spans="1:15" s="223" customFormat="1" ht="18">
      <c r="A184" s="226"/>
      <c r="B184" s="321"/>
      <c r="C184" s="256" t="s">
        <v>258</v>
      </c>
      <c r="D184" s="256"/>
      <c r="E184" s="323">
        <f>E43/12</f>
        <v>11.195833333333333</v>
      </c>
      <c r="F184" s="324">
        <v>4950000</v>
      </c>
      <c r="G184" s="324">
        <f>F184*E184</f>
        <v>55419375</v>
      </c>
      <c r="H184" s="256"/>
      <c r="I184" s="225"/>
      <c r="J184" s="257" t="s">
        <v>474</v>
      </c>
      <c r="K184" s="495">
        <f>0.4*0.4*1</f>
        <v>0.16000000000000003</v>
      </c>
      <c r="L184" s="259" t="s">
        <v>215</v>
      </c>
      <c r="M184" s="496"/>
      <c r="N184" s="497"/>
      <c r="O184" s="505"/>
    </row>
    <row r="185" spans="1:15" s="223" customFormat="1" ht="15.75">
      <c r="A185" s="226"/>
      <c r="B185" s="321"/>
      <c r="C185" s="256"/>
      <c r="D185" s="256">
        <v>440</v>
      </c>
      <c r="E185" s="323">
        <f>E184</f>
        <v>11.195833333333333</v>
      </c>
      <c r="F185" s="324">
        <v>4000</v>
      </c>
      <c r="G185" s="324">
        <f>F185*E185*D185</f>
        <v>19704666.666666664</v>
      </c>
      <c r="H185" s="256"/>
      <c r="I185" s="225"/>
      <c r="J185" s="266" t="s">
        <v>234</v>
      </c>
      <c r="K185" s="499"/>
      <c r="L185" s="268"/>
      <c r="M185" s="500"/>
      <c r="N185" s="500"/>
      <c r="O185" s="505"/>
    </row>
    <row r="186" spans="1:15" s="223" customFormat="1" ht="15.75">
      <c r="A186" s="226"/>
      <c r="B186" s="321"/>
      <c r="C186" s="256"/>
      <c r="D186" s="256"/>
      <c r="E186" s="323"/>
      <c r="F186" s="324"/>
      <c r="G186" s="324"/>
      <c r="H186" s="324">
        <f>SUM(G184:G185)</f>
        <v>75124041.666666657</v>
      </c>
      <c r="I186" s="225"/>
      <c r="J186" s="266" t="s">
        <v>219</v>
      </c>
      <c r="K186" s="499">
        <f>K184*6</f>
        <v>0.96000000000000019</v>
      </c>
      <c r="L186" s="268" t="s">
        <v>220</v>
      </c>
      <c r="M186" s="500">
        <v>55000</v>
      </c>
      <c r="N186" s="500">
        <f t="shared" ref="N186:N197" si="1">M186*K186</f>
        <v>52800.000000000007</v>
      </c>
      <c r="O186" s="505"/>
    </row>
    <row r="187" spans="1:15" s="223" customFormat="1" ht="18">
      <c r="A187" s="226"/>
      <c r="B187" s="321"/>
      <c r="C187" s="256" t="s">
        <v>259</v>
      </c>
      <c r="D187" s="256"/>
      <c r="E187" s="323">
        <f>22/12</f>
        <v>1.8333333333333333</v>
      </c>
      <c r="F187" s="324">
        <v>6158250</v>
      </c>
      <c r="G187" s="324">
        <f>F187*E187</f>
        <v>11290125</v>
      </c>
      <c r="H187" s="256"/>
      <c r="I187" s="225"/>
      <c r="J187" s="266" t="s">
        <v>222</v>
      </c>
      <c r="K187" s="499">
        <f>K184*0.54</f>
        <v>8.6400000000000018E-2</v>
      </c>
      <c r="L187" s="268" t="s">
        <v>215</v>
      </c>
      <c r="M187" s="500">
        <v>380000</v>
      </c>
      <c r="N187" s="500">
        <f t="shared" si="1"/>
        <v>32832.000000000007</v>
      </c>
      <c r="O187" s="505"/>
    </row>
    <row r="188" spans="1:15" s="223" customFormat="1" ht="18">
      <c r="A188" s="226"/>
      <c r="B188" s="321"/>
      <c r="C188" s="256"/>
      <c r="D188" s="256">
        <v>595</v>
      </c>
      <c r="E188" s="323">
        <f>E187</f>
        <v>1.8333333333333333</v>
      </c>
      <c r="F188" s="324">
        <v>4000</v>
      </c>
      <c r="G188" s="324">
        <f>F188*E188*D188</f>
        <v>4363333.333333333</v>
      </c>
      <c r="H188" s="256"/>
      <c r="I188" s="225"/>
      <c r="J188" s="266" t="s">
        <v>224</v>
      </c>
      <c r="K188" s="499">
        <f>K184*0.82</f>
        <v>0.13120000000000001</v>
      </c>
      <c r="L188" s="268" t="s">
        <v>215</v>
      </c>
      <c r="M188" s="500">
        <v>310000</v>
      </c>
      <c r="N188" s="500">
        <f t="shared" si="1"/>
        <v>40672</v>
      </c>
      <c r="O188" s="331"/>
    </row>
    <row r="189" spans="1:15" s="223" customFormat="1" ht="15.75">
      <c r="A189" s="226"/>
      <c r="B189" s="321"/>
      <c r="C189" s="256"/>
      <c r="D189" s="256"/>
      <c r="E189" s="323"/>
      <c r="F189" s="324"/>
      <c r="G189" s="324"/>
      <c r="H189" s="324">
        <f>SUM(G187:G188)</f>
        <v>15653458.333333332</v>
      </c>
      <c r="I189" s="225"/>
      <c r="J189" s="266" t="s">
        <v>315</v>
      </c>
      <c r="K189" s="499">
        <v>1</v>
      </c>
      <c r="L189" s="268" t="s">
        <v>20</v>
      </c>
      <c r="M189" s="500">
        <v>172000</v>
      </c>
      <c r="N189" s="500">
        <f t="shared" si="1"/>
        <v>172000</v>
      </c>
      <c r="O189" s="505"/>
    </row>
    <row r="190" spans="1:15" s="223" customFormat="1" ht="15.75">
      <c r="A190" s="226"/>
      <c r="B190" s="321"/>
      <c r="C190" s="256" t="s">
        <v>261</v>
      </c>
      <c r="D190" s="256"/>
      <c r="E190" s="323">
        <f>59/12</f>
        <v>4.916666666666667</v>
      </c>
      <c r="F190" s="324">
        <v>11825</v>
      </c>
      <c r="G190" s="324">
        <f>F190*E190</f>
        <v>58139.583333333336</v>
      </c>
      <c r="H190" s="256"/>
      <c r="I190" s="225"/>
      <c r="J190" s="266" t="s">
        <v>316</v>
      </c>
      <c r="K190" s="499">
        <v>1.25</v>
      </c>
      <c r="L190" s="268" t="s">
        <v>20</v>
      </c>
      <c r="M190" s="500">
        <v>67000</v>
      </c>
      <c r="N190" s="500">
        <f t="shared" si="1"/>
        <v>83750</v>
      </c>
      <c r="O190" s="505"/>
    </row>
    <row r="191" spans="1:15" s="223" customFormat="1" ht="15.75">
      <c r="A191" s="226"/>
      <c r="B191" s="321"/>
      <c r="C191" s="256"/>
      <c r="D191" s="256">
        <v>1075</v>
      </c>
      <c r="E191" s="323">
        <f>E190</f>
        <v>4.916666666666667</v>
      </c>
      <c r="F191" s="324">
        <v>4000</v>
      </c>
      <c r="G191" s="324">
        <f>F191*E191*D191</f>
        <v>21141666.666666668</v>
      </c>
      <c r="H191" s="256"/>
      <c r="I191" s="225"/>
      <c r="J191" s="266" t="s">
        <v>240</v>
      </c>
      <c r="K191" s="499">
        <v>0.6</v>
      </c>
      <c r="L191" s="268" t="s">
        <v>241</v>
      </c>
      <c r="M191" s="500">
        <v>100000</v>
      </c>
      <c r="N191" s="500">
        <f t="shared" si="1"/>
        <v>60000</v>
      </c>
      <c r="O191" s="505"/>
    </row>
    <row r="192" spans="1:15" s="223" customFormat="1" ht="15.75">
      <c r="A192" s="226"/>
      <c r="B192" s="321"/>
      <c r="C192" s="256"/>
      <c r="D192" s="256"/>
      <c r="E192" s="323"/>
      <c r="F192" s="324"/>
      <c r="G192" s="324"/>
      <c r="H192" s="324">
        <f>SUM(G190:G191)</f>
        <v>21199806.25</v>
      </c>
      <c r="I192" s="225"/>
      <c r="J192" s="266" t="s">
        <v>242</v>
      </c>
      <c r="K192" s="499">
        <f>K184*2.5</f>
        <v>0.40000000000000008</v>
      </c>
      <c r="L192" s="268" t="s">
        <v>17</v>
      </c>
      <c r="M192" s="500">
        <v>20000</v>
      </c>
      <c r="N192" s="500">
        <f t="shared" si="1"/>
        <v>8000.0000000000018</v>
      </c>
      <c r="O192" s="505"/>
    </row>
    <row r="193" spans="1:15" s="223" customFormat="1" ht="15.75">
      <c r="A193" s="226"/>
      <c r="C193" s="325"/>
      <c r="D193" s="38"/>
      <c r="E193" s="246"/>
      <c r="F193" s="521"/>
      <c r="G193" s="511"/>
      <c r="H193" s="506"/>
      <c r="I193" s="225"/>
      <c r="J193" s="266" t="s">
        <v>243</v>
      </c>
      <c r="K193" s="499">
        <v>0.04</v>
      </c>
      <c r="L193" s="268" t="s">
        <v>15</v>
      </c>
      <c r="M193" s="500">
        <v>2500000</v>
      </c>
      <c r="N193" s="500">
        <f t="shared" si="1"/>
        <v>100000</v>
      </c>
      <c r="O193" s="505"/>
    </row>
    <row r="194" spans="1:15" s="223" customFormat="1" ht="15.75">
      <c r="A194" s="226"/>
      <c r="C194" s="256" t="s">
        <v>263</v>
      </c>
      <c r="D194" s="256"/>
      <c r="E194" s="323">
        <f>182/12</f>
        <v>15.166666666666666</v>
      </c>
      <c r="F194" s="324">
        <v>3550000</v>
      </c>
      <c r="G194" s="324">
        <f>F194*E194</f>
        <v>53841666.666666664</v>
      </c>
      <c r="H194" s="256"/>
      <c r="I194" s="225"/>
      <c r="J194" s="266" t="s">
        <v>244</v>
      </c>
      <c r="K194" s="499">
        <f>K184*2</f>
        <v>0.32000000000000006</v>
      </c>
      <c r="L194" s="268" t="s">
        <v>17</v>
      </c>
      <c r="M194" s="500">
        <v>20000</v>
      </c>
      <c r="N194" s="500">
        <f t="shared" si="1"/>
        <v>6400.0000000000009</v>
      </c>
      <c r="O194" s="505"/>
    </row>
    <row r="195" spans="1:15" s="223" customFormat="1" ht="15.75">
      <c r="A195" s="226"/>
      <c r="C195" s="256"/>
      <c r="D195" s="256">
        <v>355</v>
      </c>
      <c r="E195" s="323">
        <f>E194</f>
        <v>15.166666666666666</v>
      </c>
      <c r="F195" s="324">
        <v>4000</v>
      </c>
      <c r="G195" s="324">
        <f>F195*E195*D195</f>
        <v>21536666.666666664</v>
      </c>
      <c r="H195" s="256"/>
      <c r="I195" s="225"/>
      <c r="J195" s="266" t="s">
        <v>245</v>
      </c>
      <c r="K195" s="502">
        <f>0.3*0.12*3</f>
        <v>0.10799999999999998</v>
      </c>
      <c r="L195" s="281" t="s">
        <v>14</v>
      </c>
      <c r="M195" s="503">
        <v>20000</v>
      </c>
      <c r="N195" s="503">
        <f t="shared" si="1"/>
        <v>2159.9999999999995</v>
      </c>
      <c r="O195" s="505"/>
    </row>
    <row r="196" spans="1:15" s="223" customFormat="1" ht="15.75">
      <c r="A196" s="226"/>
      <c r="C196" s="256"/>
      <c r="D196" s="256"/>
      <c r="E196" s="323"/>
      <c r="F196" s="324"/>
      <c r="G196" s="324"/>
      <c r="H196" s="324">
        <f>SUM(G194:G195)</f>
        <v>75378333.333333328</v>
      </c>
      <c r="I196" s="225"/>
      <c r="J196" s="266" t="s">
        <v>228</v>
      </c>
      <c r="K196" s="502">
        <f>(19*K189)+(7.4*K190)</f>
        <v>28.25</v>
      </c>
      <c r="L196" s="281" t="s">
        <v>17</v>
      </c>
      <c r="M196" s="507">
        <v>3000</v>
      </c>
      <c r="N196" s="503">
        <f t="shared" si="1"/>
        <v>84750</v>
      </c>
      <c r="O196" s="505"/>
    </row>
    <row r="197" spans="1:15" s="223" customFormat="1" ht="18">
      <c r="A197" s="226"/>
      <c r="C197" s="325" t="s">
        <v>475</v>
      </c>
      <c r="D197" s="38"/>
      <c r="E197" s="246"/>
      <c r="F197" s="522"/>
      <c r="G197" s="511"/>
      <c r="H197" s="506"/>
      <c r="I197" s="225"/>
      <c r="J197" s="279" t="s">
        <v>229</v>
      </c>
      <c r="K197" s="502">
        <f>K184*1</f>
        <v>0.16000000000000003</v>
      </c>
      <c r="L197" s="281" t="s">
        <v>215</v>
      </c>
      <c r="M197" s="507">
        <v>300000</v>
      </c>
      <c r="N197" s="503">
        <f t="shared" si="1"/>
        <v>48000.000000000007</v>
      </c>
      <c r="O197" s="505"/>
    </row>
    <row r="198" spans="1:15" s="223" customFormat="1" ht="15.75">
      <c r="A198" s="226"/>
      <c r="C198" s="256" t="s">
        <v>263</v>
      </c>
      <c r="D198" s="256"/>
      <c r="E198" s="323">
        <f>(9.2+22+8.7)/12</f>
        <v>3.3249999999999997</v>
      </c>
      <c r="F198" s="324">
        <v>3550000</v>
      </c>
      <c r="G198" s="324">
        <f>F198*E198</f>
        <v>11803749.999999998</v>
      </c>
      <c r="H198" s="256"/>
      <c r="I198" s="225"/>
      <c r="J198" s="1146" t="s">
        <v>246</v>
      </c>
      <c r="K198" s="1147"/>
      <c r="L198" s="1147"/>
      <c r="M198" s="1147"/>
      <c r="N198" s="508">
        <f>SUM(N186:N197)</f>
        <v>691364</v>
      </c>
      <c r="O198" s="505"/>
    </row>
    <row r="199" spans="1:15" s="223" customFormat="1" ht="15.75">
      <c r="A199" s="226"/>
      <c r="C199" s="256"/>
      <c r="D199" s="256">
        <v>355</v>
      </c>
      <c r="E199" s="323">
        <f>E198</f>
        <v>3.3249999999999997</v>
      </c>
      <c r="F199" s="324">
        <v>4000</v>
      </c>
      <c r="G199" s="324">
        <f>F199*E199*D199</f>
        <v>4721499.9999999991</v>
      </c>
      <c r="H199" s="256"/>
      <c r="I199" s="225"/>
      <c r="L199" s="230"/>
      <c r="M199" s="230"/>
      <c r="N199" s="230"/>
      <c r="O199" s="505"/>
    </row>
    <row r="200" spans="1:15" s="223" customFormat="1" ht="18">
      <c r="A200" s="226"/>
      <c r="C200" s="256"/>
      <c r="D200" s="256"/>
      <c r="E200" s="323"/>
      <c r="F200" s="256"/>
      <c r="G200" s="324"/>
      <c r="H200" s="324">
        <f>SUM(G198:G199)</f>
        <v>16525249.999999996</v>
      </c>
      <c r="I200" s="225"/>
      <c r="J200" s="257" t="s">
        <v>476</v>
      </c>
      <c r="K200" s="495">
        <f>0.4*0.4*1</f>
        <v>0.16000000000000003</v>
      </c>
      <c r="L200" s="259" t="s">
        <v>215</v>
      </c>
      <c r="M200" s="496"/>
      <c r="N200" s="497"/>
      <c r="O200" s="505"/>
    </row>
    <row r="201" spans="1:15" s="223" customFormat="1" ht="15.75">
      <c r="A201" s="226"/>
      <c r="C201" s="325" t="s">
        <v>477</v>
      </c>
      <c r="D201" s="38"/>
      <c r="E201" s="246"/>
      <c r="F201" s="522"/>
      <c r="G201" s="511"/>
      <c r="H201" s="506"/>
      <c r="I201" s="225"/>
      <c r="J201" s="266" t="s">
        <v>234</v>
      </c>
      <c r="K201" s="499"/>
      <c r="L201" s="268"/>
      <c r="M201" s="500"/>
      <c r="N201" s="500"/>
      <c r="O201" s="505"/>
    </row>
    <row r="202" spans="1:15" s="223" customFormat="1" ht="15.75">
      <c r="A202" s="226"/>
      <c r="C202" s="256" t="s">
        <v>263</v>
      </c>
      <c r="D202" s="256"/>
      <c r="E202" s="323">
        <f>(7.4*5)/12</f>
        <v>3.0833333333333335</v>
      </c>
      <c r="F202" s="324">
        <v>3550000</v>
      </c>
      <c r="G202" s="324">
        <f>F202*E202</f>
        <v>10945833.333333334</v>
      </c>
      <c r="H202" s="256"/>
      <c r="I202" s="225"/>
      <c r="J202" s="266" t="s">
        <v>219</v>
      </c>
      <c r="K202" s="499">
        <f>K200*6</f>
        <v>0.96000000000000019</v>
      </c>
      <c r="L202" s="268" t="s">
        <v>220</v>
      </c>
      <c r="M202" s="500">
        <v>55000</v>
      </c>
      <c r="N202" s="500">
        <f t="shared" ref="N202:N213" si="2">M202*K202</f>
        <v>52800.000000000007</v>
      </c>
      <c r="O202" s="505"/>
    </row>
    <row r="203" spans="1:15" s="223" customFormat="1" ht="18">
      <c r="A203" s="226"/>
      <c r="C203" s="256"/>
      <c r="D203" s="256">
        <v>355</v>
      </c>
      <c r="E203" s="323">
        <f>E202</f>
        <v>3.0833333333333335</v>
      </c>
      <c r="F203" s="324">
        <v>4000</v>
      </c>
      <c r="G203" s="324">
        <f>F203*E203*D203</f>
        <v>4378333.333333334</v>
      </c>
      <c r="H203" s="256"/>
      <c r="I203" s="225"/>
      <c r="J203" s="266" t="s">
        <v>222</v>
      </c>
      <c r="K203" s="499">
        <f>K200*0.54</f>
        <v>8.6400000000000018E-2</v>
      </c>
      <c r="L203" s="268" t="s">
        <v>215</v>
      </c>
      <c r="M203" s="500">
        <v>380000</v>
      </c>
      <c r="N203" s="500">
        <f t="shared" si="2"/>
        <v>32832.000000000007</v>
      </c>
      <c r="O203" s="505"/>
    </row>
    <row r="204" spans="1:15" s="223" customFormat="1" ht="18">
      <c r="A204" s="226"/>
      <c r="C204" s="256"/>
      <c r="D204" s="256"/>
      <c r="E204" s="323"/>
      <c r="F204" s="256"/>
      <c r="G204" s="324"/>
      <c r="H204" s="324">
        <f>SUM(G202:G203)</f>
        <v>15324166.666666668</v>
      </c>
      <c r="I204" s="225"/>
      <c r="J204" s="266" t="s">
        <v>224</v>
      </c>
      <c r="K204" s="499">
        <f>K200*0.82</f>
        <v>0.13120000000000001</v>
      </c>
      <c r="L204" s="268" t="s">
        <v>215</v>
      </c>
      <c r="M204" s="500">
        <v>310000</v>
      </c>
      <c r="N204" s="500">
        <f t="shared" si="2"/>
        <v>40672</v>
      </c>
    </row>
    <row r="205" spans="1:15" s="223" customFormat="1" ht="15.75">
      <c r="A205" s="226"/>
      <c r="C205" s="255"/>
      <c r="D205" s="255"/>
      <c r="E205" s="523"/>
      <c r="F205" s="255"/>
      <c r="G205" s="524"/>
      <c r="H205" s="524"/>
      <c r="I205" s="225"/>
      <c r="J205" s="266" t="s">
        <v>478</v>
      </c>
      <c r="K205" s="499">
        <v>1</v>
      </c>
      <c r="L205" s="268" t="s">
        <v>20</v>
      </c>
      <c r="M205" s="500">
        <v>296800</v>
      </c>
      <c r="N205" s="500">
        <f t="shared" si="2"/>
        <v>296800</v>
      </c>
    </row>
    <row r="206" spans="1:15" s="223" customFormat="1" ht="15.75">
      <c r="A206" s="226"/>
      <c r="C206" s="330"/>
      <c r="D206" s="265"/>
      <c r="E206" s="265"/>
      <c r="I206" s="225"/>
      <c r="J206" s="266" t="s">
        <v>479</v>
      </c>
      <c r="K206" s="499">
        <v>1.25</v>
      </c>
      <c r="L206" s="268" t="s">
        <v>20</v>
      </c>
      <c r="M206" s="500">
        <v>67000</v>
      </c>
      <c r="N206" s="500">
        <f t="shared" si="2"/>
        <v>83750</v>
      </c>
    </row>
    <row r="207" spans="1:15" s="223" customFormat="1" ht="15.75">
      <c r="A207" s="226"/>
      <c r="C207" s="325" t="s">
        <v>265</v>
      </c>
      <c r="D207" s="38"/>
      <c r="E207" s="246"/>
      <c r="F207" s="522"/>
      <c r="G207" s="511"/>
      <c r="H207" s="506"/>
      <c r="I207" s="225"/>
      <c r="J207" s="266" t="s">
        <v>240</v>
      </c>
      <c r="K207" s="499">
        <f>0.9/2.88</f>
        <v>0.3125</v>
      </c>
      <c r="L207" s="268" t="s">
        <v>241</v>
      </c>
      <c r="M207" s="500">
        <v>100000</v>
      </c>
      <c r="N207" s="500">
        <f t="shared" si="2"/>
        <v>31250</v>
      </c>
    </row>
    <row r="208" spans="1:15" s="223" customFormat="1" ht="15.75">
      <c r="A208" s="226"/>
      <c r="C208" s="256" t="s">
        <v>269</v>
      </c>
      <c r="D208" s="256"/>
      <c r="E208" s="323">
        <f>(12*16.2)/6</f>
        <v>32.4</v>
      </c>
      <c r="F208" s="324">
        <v>618000</v>
      </c>
      <c r="G208" s="324">
        <f>F208*E208</f>
        <v>20023200</v>
      </c>
      <c r="H208" s="256"/>
      <c r="I208" s="225"/>
      <c r="J208" s="266" t="s">
        <v>242</v>
      </c>
      <c r="K208" s="499">
        <f>K200*2.5</f>
        <v>0.40000000000000008</v>
      </c>
      <c r="L208" s="268" t="s">
        <v>17</v>
      </c>
      <c r="M208" s="500">
        <v>20000</v>
      </c>
      <c r="N208" s="500">
        <f t="shared" si="2"/>
        <v>8000.0000000000018</v>
      </c>
    </row>
    <row r="209" spans="1:14" s="223" customFormat="1" ht="15.75">
      <c r="A209" s="226"/>
      <c r="C209" s="256"/>
      <c r="D209" s="256">
        <v>355</v>
      </c>
      <c r="E209" s="323">
        <f>E208</f>
        <v>32.4</v>
      </c>
      <c r="F209" s="324">
        <v>4000</v>
      </c>
      <c r="G209" s="324">
        <f>F209*E209*D209</f>
        <v>46008000</v>
      </c>
      <c r="H209" s="256"/>
      <c r="I209" s="225"/>
      <c r="J209" s="266" t="s">
        <v>243</v>
      </c>
      <c r="K209" s="499">
        <v>0.04</v>
      </c>
      <c r="L209" s="268" t="s">
        <v>15</v>
      </c>
      <c r="M209" s="500">
        <v>2500000</v>
      </c>
      <c r="N209" s="500">
        <f t="shared" si="2"/>
        <v>100000</v>
      </c>
    </row>
    <row r="210" spans="1:14" s="223" customFormat="1" ht="15.75">
      <c r="A210" s="226"/>
      <c r="C210" s="256"/>
      <c r="D210" s="256"/>
      <c r="E210" s="323"/>
      <c r="F210" s="256"/>
      <c r="G210" s="324"/>
      <c r="H210" s="324">
        <f>SUM(G208:G209)</f>
        <v>66031200</v>
      </c>
      <c r="I210" s="225"/>
      <c r="J210" s="266" t="s">
        <v>244</v>
      </c>
      <c r="K210" s="499">
        <f>K200*2</f>
        <v>0.32000000000000006</v>
      </c>
      <c r="L210" s="268" t="s">
        <v>17</v>
      </c>
      <c r="M210" s="500">
        <v>20000</v>
      </c>
      <c r="N210" s="500">
        <f t="shared" si="2"/>
        <v>6400.0000000000009</v>
      </c>
    </row>
    <row r="211" spans="1:14" s="223" customFormat="1" ht="15.75">
      <c r="A211" s="226"/>
      <c r="D211" s="230"/>
      <c r="E211" s="230"/>
      <c r="F211" s="230"/>
      <c r="G211" s="225"/>
      <c r="H211" s="225"/>
      <c r="I211" s="225"/>
      <c r="J211" s="266" t="s">
        <v>245</v>
      </c>
      <c r="K211" s="502">
        <f>0.3*0.12*3</f>
        <v>0.10799999999999998</v>
      </c>
      <c r="L211" s="281" t="s">
        <v>14</v>
      </c>
      <c r="M211" s="503">
        <v>20000</v>
      </c>
      <c r="N211" s="503">
        <f t="shared" si="2"/>
        <v>2159.9999999999995</v>
      </c>
    </row>
    <row r="212" spans="1:14" s="223" customFormat="1" ht="15.75">
      <c r="A212" s="226"/>
      <c r="C212" s="325" t="s">
        <v>265</v>
      </c>
      <c r="D212" s="38"/>
      <c r="E212" s="246"/>
      <c r="F212" s="522"/>
      <c r="G212" s="511"/>
      <c r="H212" s="506"/>
      <c r="J212" s="266" t="s">
        <v>228</v>
      </c>
      <c r="K212" s="502">
        <f>(26.7*K205)+(12.5*K206)</f>
        <v>42.325000000000003</v>
      </c>
      <c r="L212" s="281" t="s">
        <v>17</v>
      </c>
      <c r="M212" s="507">
        <v>3000</v>
      </c>
      <c r="N212" s="503">
        <f t="shared" si="2"/>
        <v>126975.00000000001</v>
      </c>
    </row>
    <row r="213" spans="1:14" s="223" customFormat="1" ht="18">
      <c r="A213" s="226"/>
      <c r="C213" s="256" t="s">
        <v>269</v>
      </c>
      <c r="D213" s="256"/>
      <c r="E213" s="323">
        <f>(10*16.21)/6</f>
        <v>27.016666666666669</v>
      </c>
      <c r="F213" s="324">
        <v>618000</v>
      </c>
      <c r="G213" s="324">
        <f>F213*E213</f>
        <v>16696300.000000002</v>
      </c>
      <c r="H213" s="256"/>
      <c r="J213" s="279" t="s">
        <v>229</v>
      </c>
      <c r="K213" s="502">
        <f>K200*1</f>
        <v>0.16000000000000003</v>
      </c>
      <c r="L213" s="281" t="s">
        <v>215</v>
      </c>
      <c r="M213" s="507">
        <v>300000</v>
      </c>
      <c r="N213" s="503">
        <f t="shared" si="2"/>
        <v>48000.000000000007</v>
      </c>
    </row>
    <row r="214" spans="1:14" s="223" customFormat="1" ht="15.75">
      <c r="A214" s="226"/>
      <c r="C214" s="256"/>
      <c r="D214" s="256">
        <v>355</v>
      </c>
      <c r="E214" s="323">
        <f>E213</f>
        <v>27.016666666666669</v>
      </c>
      <c r="F214" s="324">
        <v>4000</v>
      </c>
      <c r="G214" s="324">
        <f>F214*E214*D214</f>
        <v>38363666.666666672</v>
      </c>
      <c r="H214" s="256"/>
      <c r="J214" s="1146" t="s">
        <v>246</v>
      </c>
      <c r="K214" s="1147"/>
      <c r="L214" s="1147"/>
      <c r="M214" s="1147"/>
      <c r="N214" s="508">
        <f>SUM(N202:N213)</f>
        <v>829639</v>
      </c>
    </row>
    <row r="215" spans="1:14" s="223" customFormat="1">
      <c r="A215" s="226"/>
      <c r="C215" s="256"/>
      <c r="D215" s="256"/>
      <c r="E215" s="323"/>
      <c r="F215" s="256"/>
      <c r="G215" s="324"/>
      <c r="H215" s="324">
        <f>SUM(G213:G214)</f>
        <v>55059966.666666672</v>
      </c>
      <c r="M215" s="485"/>
    </row>
    <row r="216" spans="1:14" s="223" customFormat="1">
      <c r="A216" s="226"/>
      <c r="D216" s="230"/>
      <c r="E216" s="230"/>
      <c r="G216" s="230"/>
      <c r="M216" s="485"/>
    </row>
    <row r="217" spans="1:14" s="223" customFormat="1" ht="18">
      <c r="A217" s="226"/>
      <c r="C217" s="257" t="s">
        <v>314</v>
      </c>
      <c r="D217" s="495">
        <f>0.25*0.5*1</f>
        <v>0.125</v>
      </c>
      <c r="E217" s="259" t="s">
        <v>215</v>
      </c>
      <c r="F217" s="496"/>
      <c r="G217" s="497"/>
      <c r="H217" s="505"/>
      <c r="M217" s="485"/>
    </row>
    <row r="218" spans="1:14" s="223" customFormat="1" ht="15.75">
      <c r="A218" s="226"/>
      <c r="C218" s="266" t="s">
        <v>234</v>
      </c>
      <c r="D218" s="499"/>
      <c r="E218" s="268"/>
      <c r="F218" s="500"/>
      <c r="G218" s="500"/>
      <c r="H218" s="505"/>
      <c r="M218" s="485"/>
    </row>
    <row r="219" spans="1:14" s="223" customFormat="1" ht="15.75">
      <c r="A219" s="226"/>
      <c r="C219" s="266" t="s">
        <v>219</v>
      </c>
      <c r="D219" s="499">
        <f>D217*6</f>
        <v>0.75</v>
      </c>
      <c r="E219" s="268" t="s">
        <v>220</v>
      </c>
      <c r="F219" s="500">
        <v>55000</v>
      </c>
      <c r="G219" s="500">
        <f t="shared" ref="G219:G230" si="3">F219*D219</f>
        <v>41250</v>
      </c>
      <c r="H219" s="505"/>
      <c r="M219" s="485"/>
    </row>
    <row r="220" spans="1:14" s="223" customFormat="1" ht="18">
      <c r="A220" s="226"/>
      <c r="C220" s="266" t="s">
        <v>222</v>
      </c>
      <c r="D220" s="499">
        <f>D217*0.54</f>
        <v>6.7500000000000004E-2</v>
      </c>
      <c r="E220" s="268" t="s">
        <v>215</v>
      </c>
      <c r="F220" s="500">
        <v>380000</v>
      </c>
      <c r="G220" s="500">
        <f t="shared" si="3"/>
        <v>25650</v>
      </c>
      <c r="H220" s="505"/>
      <c r="M220" s="485"/>
    </row>
    <row r="221" spans="1:14" s="223" customFormat="1" ht="18">
      <c r="A221" s="226"/>
      <c r="C221" s="266" t="s">
        <v>224</v>
      </c>
      <c r="D221" s="499">
        <f>D217*0.82</f>
        <v>0.10249999999999999</v>
      </c>
      <c r="E221" s="268" t="s">
        <v>215</v>
      </c>
      <c r="F221" s="500">
        <v>310000</v>
      </c>
      <c r="G221" s="500">
        <f t="shared" si="3"/>
        <v>31774.999999999996</v>
      </c>
      <c r="H221" s="505"/>
      <c r="M221" s="485"/>
    </row>
    <row r="222" spans="1:14" s="223" customFormat="1" ht="15.75">
      <c r="A222" s="226"/>
      <c r="C222" s="266" t="s">
        <v>315</v>
      </c>
      <c r="D222" s="499">
        <f>10/12</f>
        <v>0.83333333333333337</v>
      </c>
      <c r="E222" s="268" t="s">
        <v>20</v>
      </c>
      <c r="F222" s="500">
        <v>172000</v>
      </c>
      <c r="G222" s="500">
        <f t="shared" si="3"/>
        <v>143333.33333333334</v>
      </c>
      <c r="H222" s="505"/>
      <c r="M222" s="485"/>
    </row>
    <row r="223" spans="1:14" s="223" customFormat="1" ht="15.75">
      <c r="A223" s="226"/>
      <c r="C223" s="266" t="s">
        <v>316</v>
      </c>
      <c r="D223" s="499">
        <v>1.25</v>
      </c>
      <c r="E223" s="268" t="s">
        <v>20</v>
      </c>
      <c r="F223" s="500">
        <v>67000</v>
      </c>
      <c r="G223" s="500">
        <f t="shared" si="3"/>
        <v>83750</v>
      </c>
      <c r="H223" s="505"/>
      <c r="M223" s="485"/>
    </row>
    <row r="224" spans="1:14" s="223" customFormat="1" ht="15.75">
      <c r="A224" s="226"/>
      <c r="C224" s="266" t="s">
        <v>240</v>
      </c>
      <c r="D224" s="499">
        <f>1/2.88</f>
        <v>0.34722222222222221</v>
      </c>
      <c r="E224" s="268" t="s">
        <v>241</v>
      </c>
      <c r="F224" s="500">
        <v>100000</v>
      </c>
      <c r="G224" s="500">
        <f t="shared" si="3"/>
        <v>34722.222222222219</v>
      </c>
      <c r="H224" s="505"/>
      <c r="M224" s="485"/>
    </row>
    <row r="225" spans="1:13" s="223" customFormat="1" ht="15.75">
      <c r="A225" s="226"/>
      <c r="C225" s="266" t="s">
        <v>242</v>
      </c>
      <c r="D225" s="499">
        <f>D217*2.5</f>
        <v>0.3125</v>
      </c>
      <c r="E225" s="268" t="s">
        <v>17</v>
      </c>
      <c r="F225" s="500">
        <v>20000</v>
      </c>
      <c r="G225" s="500">
        <f t="shared" si="3"/>
        <v>6250</v>
      </c>
      <c r="H225" s="505"/>
      <c r="M225" s="485"/>
    </row>
    <row r="226" spans="1:13" ht="15.75">
      <c r="C226" s="266" t="s">
        <v>243</v>
      </c>
      <c r="D226" s="499">
        <v>0.04</v>
      </c>
      <c r="E226" s="268" t="s">
        <v>15</v>
      </c>
      <c r="F226" s="500">
        <v>2500000</v>
      </c>
      <c r="G226" s="500">
        <f t="shared" si="3"/>
        <v>100000</v>
      </c>
      <c r="H226" s="505"/>
    </row>
    <row r="227" spans="1:13" ht="15.75">
      <c r="C227" s="266" t="s">
        <v>244</v>
      </c>
      <c r="D227" s="499">
        <f>D217*2</f>
        <v>0.25</v>
      </c>
      <c r="E227" s="268" t="s">
        <v>17</v>
      </c>
      <c r="F227" s="500">
        <v>20000</v>
      </c>
      <c r="G227" s="500">
        <f t="shared" si="3"/>
        <v>5000</v>
      </c>
      <c r="H227" s="505"/>
    </row>
    <row r="228" spans="1:13" s="223" customFormat="1" ht="15.75">
      <c r="A228" s="226"/>
      <c r="C228" s="266" t="s">
        <v>245</v>
      </c>
      <c r="D228" s="502">
        <f>0.3*0.12*3</f>
        <v>0.10799999999999998</v>
      </c>
      <c r="E228" s="281" t="s">
        <v>14</v>
      </c>
      <c r="F228" s="503">
        <v>20000</v>
      </c>
      <c r="G228" s="503">
        <f t="shared" si="3"/>
        <v>2159.9999999999995</v>
      </c>
      <c r="H228" s="505"/>
      <c r="M228" s="485"/>
    </row>
    <row r="229" spans="1:13" s="223" customFormat="1" ht="15.75">
      <c r="A229" s="226"/>
      <c r="C229" s="266" t="s">
        <v>228</v>
      </c>
      <c r="D229" s="502">
        <f>(19*D222)+(7.4*D223)</f>
        <v>25.083333333333336</v>
      </c>
      <c r="E229" s="281" t="s">
        <v>17</v>
      </c>
      <c r="F229" s="507">
        <v>3000</v>
      </c>
      <c r="G229" s="503">
        <f t="shared" si="3"/>
        <v>75250</v>
      </c>
      <c r="H229" s="505"/>
      <c r="M229" s="485"/>
    </row>
    <row r="230" spans="1:13" s="223" customFormat="1" ht="18">
      <c r="A230" s="226"/>
      <c r="C230" s="279" t="s">
        <v>229</v>
      </c>
      <c r="D230" s="502">
        <f>D217*1</f>
        <v>0.125</v>
      </c>
      <c r="E230" s="281" t="s">
        <v>215</v>
      </c>
      <c r="F230" s="507">
        <v>300000</v>
      </c>
      <c r="G230" s="503">
        <f t="shared" si="3"/>
        <v>37500</v>
      </c>
      <c r="H230" s="505"/>
      <c r="M230" s="485"/>
    </row>
    <row r="231" spans="1:13" s="223" customFormat="1" ht="15.75">
      <c r="A231" s="226"/>
      <c r="C231" s="1146" t="s">
        <v>246</v>
      </c>
      <c r="D231" s="1147"/>
      <c r="E231" s="1147"/>
      <c r="F231" s="1147"/>
      <c r="G231" s="508">
        <f>SUM(G219:G230)</f>
        <v>586640.55555555562</v>
      </c>
      <c r="H231" s="505">
        <f>G231/D217</f>
        <v>4693124.444444445</v>
      </c>
      <c r="M231" s="485"/>
    </row>
    <row r="232" spans="1:13" s="223" customFormat="1">
      <c r="A232" s="226"/>
      <c r="C232" s="265"/>
      <c r="D232" s="265"/>
      <c r="M232" s="485"/>
    </row>
    <row r="233" spans="1:13" s="223" customFormat="1" ht="18">
      <c r="A233" s="226"/>
      <c r="C233" s="257" t="s">
        <v>317</v>
      </c>
      <c r="D233" s="495">
        <f>0.2*0.35*1</f>
        <v>6.9999999999999993E-2</v>
      </c>
      <c r="E233" s="259" t="s">
        <v>215</v>
      </c>
      <c r="F233" s="496"/>
      <c r="G233" s="497"/>
      <c r="H233" s="505"/>
      <c r="M233" s="485"/>
    </row>
    <row r="234" spans="1:13" s="223" customFormat="1" ht="15.75">
      <c r="A234" s="226"/>
      <c r="C234" s="266" t="s">
        <v>234</v>
      </c>
      <c r="D234" s="499"/>
      <c r="E234" s="268"/>
      <c r="F234" s="500"/>
      <c r="G234" s="500"/>
      <c r="H234" s="505"/>
      <c r="M234" s="485"/>
    </row>
    <row r="235" spans="1:13" s="223" customFormat="1" ht="15.75">
      <c r="A235" s="226"/>
      <c r="C235" s="266" t="s">
        <v>219</v>
      </c>
      <c r="D235" s="499">
        <f>D233*6</f>
        <v>0.41999999999999993</v>
      </c>
      <c r="E235" s="268" t="s">
        <v>220</v>
      </c>
      <c r="F235" s="500">
        <v>55000</v>
      </c>
      <c r="G235" s="500">
        <f t="shared" ref="G235:G246" si="4">F235*D235</f>
        <v>23099.999999999996</v>
      </c>
      <c r="H235" s="505"/>
      <c r="M235" s="485"/>
    </row>
    <row r="236" spans="1:13" s="223" customFormat="1" ht="18">
      <c r="A236" s="226"/>
      <c r="C236" s="266" t="s">
        <v>222</v>
      </c>
      <c r="D236" s="499">
        <f>D233*0.54</f>
        <v>3.78E-2</v>
      </c>
      <c r="E236" s="268" t="s">
        <v>215</v>
      </c>
      <c r="F236" s="500">
        <v>380000</v>
      </c>
      <c r="G236" s="500">
        <f t="shared" si="4"/>
        <v>14364</v>
      </c>
      <c r="H236" s="505"/>
      <c r="M236" s="485"/>
    </row>
    <row r="237" spans="1:13" s="223" customFormat="1" ht="18">
      <c r="A237" s="226"/>
      <c r="C237" s="266" t="s">
        <v>224</v>
      </c>
      <c r="D237" s="499">
        <f>D233*0.82</f>
        <v>5.7399999999999993E-2</v>
      </c>
      <c r="E237" s="268" t="s">
        <v>215</v>
      </c>
      <c r="F237" s="500">
        <v>310000</v>
      </c>
      <c r="G237" s="500">
        <f t="shared" si="4"/>
        <v>17793.999999999996</v>
      </c>
      <c r="H237" s="505"/>
      <c r="M237" s="485"/>
    </row>
    <row r="238" spans="1:13" s="223" customFormat="1" ht="15.75">
      <c r="A238" s="226"/>
      <c r="C238" s="266" t="s">
        <v>315</v>
      </c>
      <c r="D238" s="499">
        <f>6/12</f>
        <v>0.5</v>
      </c>
      <c r="E238" s="268" t="s">
        <v>20</v>
      </c>
      <c r="F238" s="500">
        <v>172000</v>
      </c>
      <c r="G238" s="500">
        <f t="shared" si="4"/>
        <v>86000</v>
      </c>
      <c r="H238" s="505"/>
      <c r="M238" s="485"/>
    </row>
    <row r="239" spans="1:13" s="223" customFormat="1" ht="15.75">
      <c r="A239" s="226"/>
      <c r="C239" s="266" t="s">
        <v>316</v>
      </c>
      <c r="D239" s="499">
        <f>8/12</f>
        <v>0.66666666666666663</v>
      </c>
      <c r="E239" s="268" t="s">
        <v>20</v>
      </c>
      <c r="F239" s="500">
        <v>67000</v>
      </c>
      <c r="G239" s="500">
        <f t="shared" si="4"/>
        <v>44666.666666666664</v>
      </c>
      <c r="H239" s="505"/>
      <c r="M239" s="485"/>
    </row>
    <row r="240" spans="1:13" s="223" customFormat="1" ht="15.75">
      <c r="A240" s="226"/>
      <c r="C240" s="266" t="s">
        <v>240</v>
      </c>
      <c r="D240" s="499">
        <f>1/2.88</f>
        <v>0.34722222222222221</v>
      </c>
      <c r="E240" s="268" t="s">
        <v>241</v>
      </c>
      <c r="F240" s="500">
        <v>100000</v>
      </c>
      <c r="G240" s="500">
        <f t="shared" si="4"/>
        <v>34722.222222222219</v>
      </c>
      <c r="H240" s="505"/>
      <c r="M240" s="485"/>
    </row>
    <row r="241" spans="1:13" s="223" customFormat="1" ht="15.75">
      <c r="A241" s="226"/>
      <c r="C241" s="266" t="s">
        <v>242</v>
      </c>
      <c r="D241" s="499">
        <f>D233*2.5</f>
        <v>0.17499999999999999</v>
      </c>
      <c r="E241" s="268" t="s">
        <v>17</v>
      </c>
      <c r="F241" s="500">
        <v>20000</v>
      </c>
      <c r="G241" s="500">
        <f t="shared" si="4"/>
        <v>3500</v>
      </c>
      <c r="H241" s="505"/>
      <c r="M241" s="485"/>
    </row>
    <row r="242" spans="1:13" s="223" customFormat="1" ht="15.75">
      <c r="A242" s="226"/>
      <c r="C242" s="266" t="s">
        <v>243</v>
      </c>
      <c r="D242" s="499">
        <v>0.04</v>
      </c>
      <c r="E242" s="268" t="s">
        <v>15</v>
      </c>
      <c r="F242" s="500">
        <v>2500000</v>
      </c>
      <c r="G242" s="500">
        <f t="shared" si="4"/>
        <v>100000</v>
      </c>
      <c r="H242" s="505"/>
      <c r="M242" s="485"/>
    </row>
    <row r="243" spans="1:13" s="223" customFormat="1" ht="15.75">
      <c r="A243" s="226"/>
      <c r="C243" s="266" t="s">
        <v>244</v>
      </c>
      <c r="D243" s="499">
        <f>D233*2</f>
        <v>0.13999999999999999</v>
      </c>
      <c r="E243" s="268" t="s">
        <v>17</v>
      </c>
      <c r="F243" s="500">
        <v>20000</v>
      </c>
      <c r="G243" s="500">
        <f t="shared" si="4"/>
        <v>2799.9999999999995</v>
      </c>
      <c r="H243" s="505"/>
      <c r="M243" s="485"/>
    </row>
    <row r="244" spans="1:13" s="223" customFormat="1" ht="15.75">
      <c r="A244" s="226"/>
      <c r="C244" s="266" t="s">
        <v>245</v>
      </c>
      <c r="D244" s="502">
        <f>0.3*0.12*3</f>
        <v>0.10799999999999998</v>
      </c>
      <c r="E244" s="281" t="s">
        <v>14</v>
      </c>
      <c r="F244" s="503">
        <v>20000</v>
      </c>
      <c r="G244" s="503">
        <f t="shared" si="4"/>
        <v>2159.9999999999995</v>
      </c>
      <c r="H244" s="505"/>
      <c r="M244" s="485"/>
    </row>
    <row r="245" spans="1:13" s="223" customFormat="1" ht="15.75">
      <c r="A245" s="226"/>
      <c r="C245" s="266" t="s">
        <v>228</v>
      </c>
      <c r="D245" s="502">
        <f>(19*D238)+(7.4*D239)</f>
        <v>14.433333333333334</v>
      </c>
      <c r="E245" s="281" t="s">
        <v>17</v>
      </c>
      <c r="F245" s="507">
        <v>3000</v>
      </c>
      <c r="G245" s="503">
        <f t="shared" si="4"/>
        <v>43300</v>
      </c>
      <c r="H245" s="505"/>
      <c r="M245" s="485"/>
    </row>
    <row r="246" spans="1:13" s="223" customFormat="1" ht="18">
      <c r="A246" s="226"/>
      <c r="C246" s="279" t="s">
        <v>229</v>
      </c>
      <c r="D246" s="502">
        <f>D233*1</f>
        <v>6.9999999999999993E-2</v>
      </c>
      <c r="E246" s="281" t="s">
        <v>215</v>
      </c>
      <c r="F246" s="507">
        <v>300000</v>
      </c>
      <c r="G246" s="503">
        <f t="shared" si="4"/>
        <v>20999.999999999996</v>
      </c>
      <c r="H246" s="505"/>
      <c r="M246" s="485"/>
    </row>
    <row r="247" spans="1:13" s="223" customFormat="1" ht="15.75">
      <c r="A247" s="226"/>
      <c r="C247" s="1146" t="s">
        <v>246</v>
      </c>
      <c r="D247" s="1147"/>
      <c r="E247" s="1147"/>
      <c r="F247" s="1147"/>
      <c r="G247" s="508">
        <f>SUM(G235:G246)</f>
        <v>393406.88888888888</v>
      </c>
      <c r="H247" s="505">
        <f>G247/D233</f>
        <v>5620098.4126984132</v>
      </c>
      <c r="M247" s="485"/>
    </row>
    <row r="248" spans="1:13" s="223" customFormat="1">
      <c r="A248" s="226"/>
      <c r="C248" s="231"/>
      <c r="D248" s="336"/>
      <c r="M248" s="485"/>
    </row>
    <row r="249" spans="1:13" s="223" customFormat="1">
      <c r="A249" s="226"/>
      <c r="C249" s="305" t="s">
        <v>480</v>
      </c>
      <c r="E249" s="223">
        <f>(3.5*16)/6</f>
        <v>9.3333333333333339</v>
      </c>
      <c r="F249" s="374">
        <f>D250*14000</f>
        <v>3573500</v>
      </c>
      <c r="G249" s="374">
        <f>F249*E249</f>
        <v>33352666.666666668</v>
      </c>
      <c r="H249" s="225">
        <f>E249*D250</f>
        <v>2382.3333333333335</v>
      </c>
      <c r="I249" s="225"/>
      <c r="M249" s="485"/>
    </row>
    <row r="250" spans="1:13" s="223" customFormat="1" ht="15.75">
      <c r="A250" s="226"/>
      <c r="C250" s="525"/>
      <c r="D250" s="526">
        <v>255.25</v>
      </c>
      <c r="E250" s="527">
        <f>E249</f>
        <v>9.3333333333333339</v>
      </c>
      <c r="F250" s="528">
        <v>4000</v>
      </c>
      <c r="G250" s="374">
        <f>F250*E250*D250</f>
        <v>9529333.333333334</v>
      </c>
      <c r="H250" s="529"/>
      <c r="I250" s="225"/>
      <c r="M250" s="485"/>
    </row>
    <row r="251" spans="1:13" s="223" customFormat="1" ht="15.75">
      <c r="A251" s="226"/>
      <c r="C251" s="525"/>
      <c r="D251" s="383"/>
      <c r="E251" s="528">
        <f>(0.16/2.97)*5</f>
        <v>0.26936026936026936</v>
      </c>
      <c r="F251" s="374">
        <f>D252*14000</f>
        <v>4970000</v>
      </c>
      <c r="G251" s="374">
        <f>F251*E251</f>
        <v>1338720.5387205386</v>
      </c>
      <c r="H251" s="225">
        <f>E251*D252</f>
        <v>95.622895622895626</v>
      </c>
      <c r="I251" s="225"/>
      <c r="M251" s="485"/>
    </row>
    <row r="252" spans="1:13" s="223" customFormat="1" ht="15.75">
      <c r="A252" s="226"/>
      <c r="C252" s="525" t="s">
        <v>481</v>
      </c>
      <c r="D252" s="383">
        <v>355</v>
      </c>
      <c r="E252" s="384">
        <f>E251</f>
        <v>0.26936026936026936</v>
      </c>
      <c r="F252" s="374">
        <v>4000</v>
      </c>
      <c r="G252" s="374">
        <f>F252*E252*D252</f>
        <v>382491.58249158249</v>
      </c>
      <c r="H252" s="529"/>
      <c r="I252" s="225"/>
      <c r="M252" s="485"/>
    </row>
    <row r="253" spans="1:13" s="223" customFormat="1" ht="15.75">
      <c r="A253" s="226"/>
      <c r="C253" s="525" t="s">
        <v>482</v>
      </c>
      <c r="D253" s="530"/>
      <c r="E253" s="528">
        <f>(0.0135/2.97)*5</f>
        <v>2.2727272727272728E-2</v>
      </c>
      <c r="F253" s="374">
        <f>D254*14000</f>
        <v>3944360</v>
      </c>
      <c r="G253" s="374">
        <f>F253*E253</f>
        <v>89644.545454545456</v>
      </c>
      <c r="H253" s="225">
        <f>E253*D254</f>
        <v>6.4031818181818183</v>
      </c>
      <c r="I253" s="225"/>
      <c r="M253" s="485"/>
    </row>
    <row r="254" spans="1:13" s="223" customFormat="1" ht="15.75">
      <c r="A254" s="226"/>
      <c r="B254" s="231"/>
      <c r="C254" s="531"/>
      <c r="D254" s="530">
        <v>281.74</v>
      </c>
      <c r="E254" s="384">
        <f>E253</f>
        <v>2.2727272727272728E-2</v>
      </c>
      <c r="F254" s="374">
        <v>4000</v>
      </c>
      <c r="G254" s="374">
        <f>F254*E254*D254</f>
        <v>25612.727272727272</v>
      </c>
      <c r="H254" s="529"/>
      <c r="I254" s="225"/>
      <c r="M254" s="485"/>
    </row>
    <row r="255" spans="1:13" s="223" customFormat="1" ht="15.75">
      <c r="A255" s="226"/>
      <c r="B255" s="231"/>
      <c r="C255" s="531"/>
      <c r="D255" s="530"/>
      <c r="E255" s="384"/>
      <c r="F255" s="374"/>
      <c r="G255" s="374">
        <f>SUM(G249:G254)</f>
        <v>44718469.393939398</v>
      </c>
      <c r="H255" s="529">
        <f>SUM(H249:H254)</f>
        <v>2484.3594107744111</v>
      </c>
      <c r="I255" s="225">
        <f>G255/H255</f>
        <v>18000</v>
      </c>
      <c r="M255" s="485"/>
    </row>
    <row r="256" spans="1:13" s="223" customFormat="1" ht="15.75">
      <c r="A256" s="226"/>
      <c r="B256" s="231"/>
      <c r="C256" s="531"/>
      <c r="D256" s="532"/>
      <c r="E256" s="533"/>
      <c r="F256" s="534"/>
      <c r="G256" s="534"/>
      <c r="H256" s="529"/>
      <c r="I256" s="225"/>
      <c r="M256" s="485"/>
    </row>
    <row r="257" spans="1:13" s="223" customFormat="1">
      <c r="A257" s="226"/>
      <c r="B257" s="231"/>
      <c r="C257" s="305" t="s">
        <v>483</v>
      </c>
      <c r="E257" s="223">
        <f>(5.5*6)/6</f>
        <v>5.5</v>
      </c>
      <c r="F257" s="374">
        <f>D258*14000</f>
        <v>3573500</v>
      </c>
      <c r="G257" s="374">
        <f>F257*E257</f>
        <v>19654250</v>
      </c>
      <c r="H257" s="225">
        <f>E257*D258</f>
        <v>1403.875</v>
      </c>
      <c r="I257" s="225"/>
      <c r="M257" s="485"/>
    </row>
    <row r="258" spans="1:13" s="223" customFormat="1" ht="15.75">
      <c r="A258" s="226"/>
      <c r="B258" s="231"/>
      <c r="C258" s="525"/>
      <c r="D258" s="526">
        <v>255.25</v>
      </c>
      <c r="E258" s="527">
        <f>E257</f>
        <v>5.5</v>
      </c>
      <c r="F258" s="528">
        <v>4000</v>
      </c>
      <c r="G258" s="374">
        <f>F258*E258*D258</f>
        <v>5615500</v>
      </c>
      <c r="H258" s="529"/>
      <c r="I258" s="225"/>
      <c r="M258" s="485"/>
    </row>
    <row r="259" spans="1:13" s="223" customFormat="1" ht="15.75">
      <c r="A259" s="226"/>
      <c r="B259" s="231"/>
      <c r="C259" s="525"/>
      <c r="D259" s="383"/>
      <c r="E259" s="528">
        <f>(0.16/2.97)*5</f>
        <v>0.26936026936026936</v>
      </c>
      <c r="F259" s="374">
        <f>D260*14000</f>
        <v>4970000</v>
      </c>
      <c r="G259" s="374">
        <f>F259*E259</f>
        <v>1338720.5387205386</v>
      </c>
      <c r="H259" s="225">
        <f>E259*D260</f>
        <v>95.622895622895626</v>
      </c>
      <c r="I259" s="225"/>
      <c r="M259" s="485"/>
    </row>
    <row r="260" spans="1:13" s="223" customFormat="1" ht="15.75">
      <c r="A260" s="226"/>
      <c r="B260" s="231"/>
      <c r="C260" s="525" t="s">
        <v>481</v>
      </c>
      <c r="D260" s="383">
        <v>355</v>
      </c>
      <c r="E260" s="384">
        <f>E259</f>
        <v>0.26936026936026936</v>
      </c>
      <c r="F260" s="374">
        <v>4000</v>
      </c>
      <c r="G260" s="374">
        <f>F260*E260*D260</f>
        <v>382491.58249158249</v>
      </c>
      <c r="H260" s="529"/>
      <c r="I260" s="225"/>
      <c r="M260" s="485"/>
    </row>
    <row r="261" spans="1:13" s="223" customFormat="1" ht="15.75">
      <c r="A261" s="226"/>
      <c r="B261" s="231"/>
      <c r="C261" s="525" t="s">
        <v>482</v>
      </c>
      <c r="D261" s="530"/>
      <c r="E261" s="528">
        <f>(0.0135/2.97)*5</f>
        <v>2.2727272727272728E-2</v>
      </c>
      <c r="F261" s="374">
        <f>D262*14000</f>
        <v>3944360</v>
      </c>
      <c r="G261" s="374">
        <f>F261*E261</f>
        <v>89644.545454545456</v>
      </c>
      <c r="H261" s="225">
        <f>E261*D262</f>
        <v>6.4031818181818183</v>
      </c>
      <c r="I261" s="225"/>
      <c r="M261" s="485"/>
    </row>
    <row r="262" spans="1:13" s="223" customFormat="1" ht="15.75">
      <c r="A262" s="226"/>
      <c r="B262" s="231"/>
      <c r="C262" s="531"/>
      <c r="D262" s="530">
        <v>281.74</v>
      </c>
      <c r="E262" s="384">
        <f>E261</f>
        <v>2.2727272727272728E-2</v>
      </c>
      <c r="F262" s="374">
        <v>4000</v>
      </c>
      <c r="G262" s="374">
        <f>F262*E262*D262</f>
        <v>25612.727272727272</v>
      </c>
      <c r="H262" s="529"/>
      <c r="I262" s="225"/>
      <c r="M262" s="485"/>
    </row>
    <row r="263" spans="1:13" s="223" customFormat="1" ht="15.75">
      <c r="A263" s="226"/>
      <c r="B263" s="231"/>
      <c r="C263" s="531"/>
      <c r="D263" s="530"/>
      <c r="E263" s="384"/>
      <c r="F263" s="374"/>
      <c r="G263" s="374">
        <f>SUM(G257:G262)</f>
        <v>27106219.393939395</v>
      </c>
      <c r="H263" s="529">
        <f>SUM(H257:H262)</f>
        <v>1505.9010774410774</v>
      </c>
      <c r="I263" s="225">
        <f>G263/H263</f>
        <v>18000</v>
      </c>
      <c r="M263" s="485"/>
    </row>
    <row r="264" spans="1:13" s="223" customFormat="1" ht="15.75">
      <c r="A264" s="226"/>
      <c r="B264" s="231"/>
      <c r="C264" s="531"/>
      <c r="D264" s="532"/>
      <c r="E264" s="533"/>
      <c r="F264" s="534"/>
      <c r="G264" s="534"/>
      <c r="H264" s="529"/>
      <c r="I264" s="225"/>
      <c r="M264" s="485"/>
    </row>
    <row r="265" spans="1:13" s="223" customFormat="1">
      <c r="A265" s="226"/>
      <c r="B265" s="231"/>
      <c r="C265" s="381"/>
      <c r="D265" s="265"/>
      <c r="E265" s="265"/>
      <c r="M265" s="485"/>
    </row>
    <row r="266" spans="1:13" s="223" customFormat="1">
      <c r="A266" s="226"/>
      <c r="B266" s="231"/>
      <c r="C266" s="256" t="s">
        <v>322</v>
      </c>
      <c r="D266" s="256"/>
      <c r="E266" s="323">
        <f>121.3/12</f>
        <v>10.108333333333333</v>
      </c>
      <c r="F266" s="374">
        <f>D267*14000</f>
        <v>4970000</v>
      </c>
      <c r="G266" s="324">
        <f>F266*E266</f>
        <v>50238416.666666664</v>
      </c>
      <c r="H266" s="375">
        <f>E266*D267</f>
        <v>3588.458333333333</v>
      </c>
      <c r="I266" s="255"/>
      <c r="M266" s="485"/>
    </row>
    <row r="267" spans="1:13" s="223" customFormat="1">
      <c r="A267" s="226"/>
      <c r="B267" s="231"/>
      <c r="C267" s="256"/>
      <c r="D267" s="256">
        <v>355</v>
      </c>
      <c r="E267" s="323">
        <f>E266</f>
        <v>10.108333333333333</v>
      </c>
      <c r="F267" s="324">
        <v>4000</v>
      </c>
      <c r="G267" s="324">
        <f>F267*E267*D267</f>
        <v>14353833.333333332</v>
      </c>
      <c r="H267" s="376"/>
      <c r="I267" s="255"/>
      <c r="M267" s="485"/>
    </row>
    <row r="268" spans="1:13" s="223" customFormat="1" ht="15.75">
      <c r="A268" s="226"/>
      <c r="B268" s="231"/>
      <c r="C268" s="256"/>
      <c r="D268" s="256"/>
      <c r="E268" s="323"/>
      <c r="F268" s="324"/>
      <c r="G268" s="324">
        <f>SUM(G266:G267)</f>
        <v>64592250</v>
      </c>
      <c r="H268" s="376"/>
      <c r="I268" s="235">
        <f>G268/H266</f>
        <v>18000</v>
      </c>
      <c r="M268" s="485"/>
    </row>
    <row r="269" spans="1:13" s="223" customFormat="1" ht="17.25">
      <c r="A269" s="226"/>
      <c r="B269" s="231"/>
      <c r="C269" s="381" t="s">
        <v>326</v>
      </c>
      <c r="D269" s="265"/>
      <c r="E269" s="265"/>
      <c r="F269" s="265"/>
      <c r="G269" s="382"/>
      <c r="H269" s="382"/>
      <c r="M269" s="485"/>
    </row>
    <row r="270" spans="1:13" s="223" customFormat="1">
      <c r="A270" s="226"/>
      <c r="B270" s="231"/>
      <c r="C270" s="256" t="s">
        <v>484</v>
      </c>
      <c r="D270" s="256"/>
      <c r="E270" s="323">
        <f>(7.64*3)/12</f>
        <v>1.91</v>
      </c>
      <c r="F270" s="374">
        <f>D271*14000</f>
        <v>3584000</v>
      </c>
      <c r="G270" s="324">
        <f>F270*E270</f>
        <v>6845440</v>
      </c>
      <c r="H270" s="375">
        <f>E270*D271</f>
        <v>488.96</v>
      </c>
      <c r="I270" s="255"/>
      <c r="M270" s="485"/>
    </row>
    <row r="271" spans="1:13" s="223" customFormat="1">
      <c r="A271" s="226"/>
      <c r="B271" s="231"/>
      <c r="C271" s="265"/>
      <c r="D271" s="256">
        <v>256</v>
      </c>
      <c r="E271" s="323">
        <f>E270</f>
        <v>1.91</v>
      </c>
      <c r="F271" s="324">
        <v>4000</v>
      </c>
      <c r="G271" s="324">
        <f>F271*E271*D271</f>
        <v>1955840</v>
      </c>
      <c r="H271" s="376"/>
      <c r="I271" s="255"/>
      <c r="M271" s="485"/>
    </row>
    <row r="272" spans="1:13" s="223" customFormat="1" ht="15.75">
      <c r="A272" s="226"/>
      <c r="B272" s="231"/>
      <c r="C272" s="265"/>
      <c r="D272" s="256"/>
      <c r="E272" s="323"/>
      <c r="F272" s="324"/>
      <c r="G272" s="324">
        <f>SUM(G270:G271)</f>
        <v>8801280</v>
      </c>
      <c r="H272" s="376"/>
      <c r="I272" s="235">
        <f>G272/H270</f>
        <v>18000</v>
      </c>
      <c r="M272" s="485"/>
    </row>
    <row r="273" spans="1:13" s="223" customFormat="1" ht="15.75">
      <c r="A273" s="226"/>
      <c r="B273" s="231"/>
      <c r="C273" s="265"/>
      <c r="D273" s="255"/>
      <c r="E273" s="523"/>
      <c r="F273" s="524"/>
      <c r="G273" s="524"/>
      <c r="H273" s="373"/>
      <c r="I273" s="235"/>
      <c r="M273" s="485"/>
    </row>
    <row r="274" spans="1:13" s="223" customFormat="1">
      <c r="A274" s="226"/>
      <c r="B274" s="231"/>
      <c r="C274" s="256" t="s">
        <v>485</v>
      </c>
      <c r="D274" s="256"/>
      <c r="E274" s="323">
        <f>(9.5*4)/12</f>
        <v>3.1666666666666665</v>
      </c>
      <c r="F274" s="374">
        <f>D275*14000</f>
        <v>4970000</v>
      </c>
      <c r="G274" s="324">
        <f>F274*E274</f>
        <v>15738333.333333332</v>
      </c>
      <c r="H274" s="375">
        <f>E274*D275</f>
        <v>1124.1666666666665</v>
      </c>
      <c r="I274" s="255"/>
      <c r="M274" s="485"/>
    </row>
    <row r="275" spans="1:13" s="223" customFormat="1">
      <c r="A275" s="226"/>
      <c r="B275" s="231"/>
      <c r="C275" s="256"/>
      <c r="D275" s="256">
        <v>355</v>
      </c>
      <c r="E275" s="323">
        <f>E274</f>
        <v>3.1666666666666665</v>
      </c>
      <c r="F275" s="324">
        <v>4000</v>
      </c>
      <c r="G275" s="324">
        <f>F275*E275*D275</f>
        <v>4496666.666666666</v>
      </c>
      <c r="H275" s="376"/>
      <c r="I275" s="255"/>
      <c r="M275" s="485"/>
    </row>
    <row r="276" spans="1:13" s="223" customFormat="1" ht="15.75">
      <c r="A276" s="226"/>
      <c r="B276" s="231"/>
      <c r="C276" s="256"/>
      <c r="D276" s="256"/>
      <c r="E276" s="323"/>
      <c r="F276" s="324"/>
      <c r="G276" s="324">
        <f>SUM(G274:G275)</f>
        <v>20235000</v>
      </c>
      <c r="H276" s="376"/>
      <c r="I276" s="235">
        <f>G276/H274</f>
        <v>18000.000000000004</v>
      </c>
      <c r="M276" s="485"/>
    </row>
    <row r="277" spans="1:13" s="223" customFormat="1" ht="15.75">
      <c r="A277" s="226"/>
      <c r="B277" s="231"/>
      <c r="C277" s="255"/>
      <c r="D277" s="255"/>
      <c r="E277" s="523"/>
      <c r="F277" s="524"/>
      <c r="G277" s="524"/>
      <c r="H277" s="373"/>
      <c r="I277" s="235"/>
      <c r="M277" s="485"/>
    </row>
    <row r="278" spans="1:13" s="223" customFormat="1">
      <c r="A278" s="226"/>
      <c r="B278" s="231"/>
      <c r="C278" s="256" t="s">
        <v>486</v>
      </c>
      <c r="D278" s="256"/>
      <c r="E278" s="323">
        <f>(11*3)/12</f>
        <v>2.75</v>
      </c>
      <c r="F278" s="374">
        <f>D279*14000</f>
        <v>3584000</v>
      </c>
      <c r="G278" s="324">
        <f>F278*E278</f>
        <v>9856000</v>
      </c>
      <c r="H278" s="375">
        <f>E278*D279</f>
        <v>704</v>
      </c>
      <c r="I278" s="255"/>
      <c r="M278" s="485"/>
    </row>
    <row r="279" spans="1:13" s="223" customFormat="1">
      <c r="A279" s="226"/>
      <c r="B279" s="231"/>
      <c r="C279" s="265"/>
      <c r="D279" s="256">
        <v>256</v>
      </c>
      <c r="E279" s="323">
        <f>E278</f>
        <v>2.75</v>
      </c>
      <c r="F279" s="324">
        <v>4000</v>
      </c>
      <c r="G279" s="324">
        <f>F279*E279*D279</f>
        <v>2816000</v>
      </c>
      <c r="H279" s="376"/>
      <c r="I279" s="255"/>
      <c r="M279" s="485"/>
    </row>
    <row r="280" spans="1:13" s="223" customFormat="1" ht="15.75">
      <c r="A280" s="226"/>
      <c r="B280" s="231"/>
      <c r="C280" s="265"/>
      <c r="D280" s="256"/>
      <c r="E280" s="323"/>
      <c r="F280" s="324"/>
      <c r="G280" s="324">
        <f>SUM(G278:G279)</f>
        <v>12672000</v>
      </c>
      <c r="H280" s="376"/>
      <c r="I280" s="235">
        <f>G280/H278</f>
        <v>18000</v>
      </c>
      <c r="M280" s="485"/>
    </row>
    <row r="281" spans="1:13" s="223" customFormat="1" ht="15.75">
      <c r="A281" s="226"/>
      <c r="B281" s="231"/>
      <c r="C281" s="255"/>
      <c r="D281" s="255"/>
      <c r="E281" s="523"/>
      <c r="F281" s="524"/>
      <c r="G281" s="524"/>
      <c r="H281" s="373"/>
      <c r="I281" s="235"/>
      <c r="M281" s="485"/>
    </row>
    <row r="282" spans="1:13" s="223" customFormat="1">
      <c r="A282" s="226"/>
      <c r="B282" s="231"/>
      <c r="C282" s="256" t="s">
        <v>487</v>
      </c>
      <c r="D282" s="256"/>
      <c r="E282" s="323">
        <f>(14.35+6.7)/12</f>
        <v>1.7541666666666667</v>
      </c>
      <c r="F282" s="374">
        <f>D283*14000</f>
        <v>3584000</v>
      </c>
      <c r="G282" s="324">
        <f>F282*E282</f>
        <v>6286933.333333333</v>
      </c>
      <c r="H282" s="375">
        <f>E282*D283</f>
        <v>449.06666666666666</v>
      </c>
      <c r="I282" s="255"/>
      <c r="M282" s="485"/>
    </row>
    <row r="283" spans="1:13" s="223" customFormat="1">
      <c r="A283" s="226"/>
      <c r="B283" s="231"/>
      <c r="C283" s="265"/>
      <c r="D283" s="256">
        <v>256</v>
      </c>
      <c r="E283" s="323">
        <f>E282</f>
        <v>1.7541666666666667</v>
      </c>
      <c r="F283" s="324">
        <v>4000</v>
      </c>
      <c r="G283" s="324">
        <f>F283*E283*D283</f>
        <v>1796266.6666666667</v>
      </c>
      <c r="H283" s="376"/>
      <c r="I283" s="255"/>
      <c r="M283" s="485"/>
    </row>
    <row r="284" spans="1:13" s="223" customFormat="1" ht="15.75">
      <c r="A284" s="226"/>
      <c r="B284" s="231"/>
      <c r="C284" s="265"/>
      <c r="D284" s="256"/>
      <c r="E284" s="323"/>
      <c r="F284" s="324"/>
      <c r="G284" s="324">
        <f>SUM(G282:G283)</f>
        <v>8083200</v>
      </c>
      <c r="H284" s="376"/>
      <c r="I284" s="235">
        <f>G284/H282</f>
        <v>18000</v>
      </c>
      <c r="M284" s="485"/>
    </row>
    <row r="285" spans="1:13" s="223" customFormat="1" ht="15.75">
      <c r="A285" s="226"/>
      <c r="B285" s="231"/>
      <c r="C285" s="255"/>
      <c r="D285" s="255"/>
      <c r="E285" s="523"/>
      <c r="F285" s="524"/>
      <c r="G285" s="524"/>
      <c r="H285" s="373"/>
      <c r="I285" s="235"/>
      <c r="M285" s="485"/>
    </row>
    <row r="286" spans="1:13" s="223" customFormat="1">
      <c r="A286" s="226"/>
      <c r="B286" s="231"/>
      <c r="C286" s="256" t="s">
        <v>488</v>
      </c>
      <c r="D286" s="256"/>
      <c r="E286" s="323">
        <f>(11*2)/12</f>
        <v>1.8333333333333333</v>
      </c>
      <c r="F286" s="374">
        <f>D287*14000</f>
        <v>8330000</v>
      </c>
      <c r="G286" s="324">
        <f>F286*E286</f>
        <v>15271666.666666666</v>
      </c>
      <c r="H286" s="375">
        <f>E286*D287</f>
        <v>1090.8333333333333</v>
      </c>
      <c r="I286" s="255"/>
      <c r="M286" s="485"/>
    </row>
    <row r="287" spans="1:13" s="223" customFormat="1">
      <c r="A287" s="226"/>
      <c r="B287" s="231"/>
      <c r="C287" s="256"/>
      <c r="D287" s="256">
        <v>595</v>
      </c>
      <c r="E287" s="323">
        <f>E286</f>
        <v>1.8333333333333333</v>
      </c>
      <c r="F287" s="324">
        <v>4000</v>
      </c>
      <c r="G287" s="324">
        <f>F287*E287*D287</f>
        <v>4363333.333333333</v>
      </c>
      <c r="H287" s="376"/>
      <c r="I287" s="255"/>
      <c r="M287" s="485"/>
    </row>
    <row r="288" spans="1:13" s="223" customFormat="1" ht="15.75">
      <c r="A288" s="226"/>
      <c r="B288" s="231"/>
      <c r="C288" s="256"/>
      <c r="D288" s="256"/>
      <c r="E288" s="323"/>
      <c r="F288" s="324"/>
      <c r="G288" s="324">
        <f>SUM(G286:G287)</f>
        <v>19635000</v>
      </c>
      <c r="H288" s="376"/>
      <c r="I288" s="235">
        <f>G288/H286</f>
        <v>18000</v>
      </c>
      <c r="M288" s="485"/>
    </row>
    <row r="289" spans="1:13" s="223" customFormat="1" ht="15.75">
      <c r="A289" s="226"/>
      <c r="B289" s="231"/>
      <c r="C289" s="255"/>
      <c r="D289" s="255"/>
      <c r="E289" s="523"/>
      <c r="F289" s="524"/>
      <c r="G289" s="524"/>
      <c r="H289" s="373"/>
      <c r="I289" s="235"/>
      <c r="M289" s="485"/>
    </row>
    <row r="290" spans="1:13" s="223" customFormat="1" ht="15.75">
      <c r="A290" s="226"/>
      <c r="B290" s="231"/>
      <c r="C290" s="255"/>
      <c r="D290" s="255"/>
      <c r="E290" s="523"/>
      <c r="F290" s="524"/>
      <c r="G290" s="524"/>
      <c r="H290" s="373"/>
      <c r="I290" s="235"/>
      <c r="M290" s="485"/>
    </row>
    <row r="291" spans="1:13" s="223" customFormat="1" ht="15.75">
      <c r="A291" s="226"/>
      <c r="B291" s="231"/>
      <c r="C291" s="255"/>
      <c r="D291" s="255"/>
      <c r="E291" s="523"/>
      <c r="F291" s="524"/>
      <c r="G291" s="524"/>
      <c r="H291" s="373"/>
      <c r="I291" s="235"/>
      <c r="M291" s="485"/>
    </row>
    <row r="292" spans="1:13" s="223" customFormat="1" ht="15.75">
      <c r="A292" s="226"/>
      <c r="B292" s="231"/>
      <c r="C292" s="255"/>
      <c r="D292" s="255"/>
      <c r="E292" s="523"/>
      <c r="F292" s="524"/>
      <c r="G292" s="524"/>
      <c r="H292" s="373"/>
      <c r="I292" s="235"/>
      <c r="M292" s="485"/>
    </row>
    <row r="293" spans="1:13" s="223" customFormat="1" ht="15.75">
      <c r="A293" s="226"/>
      <c r="B293" s="231"/>
      <c r="C293" s="255"/>
      <c r="D293" s="255"/>
      <c r="E293" s="523"/>
      <c r="F293" s="524"/>
      <c r="G293" s="524"/>
      <c r="H293" s="373"/>
      <c r="I293" s="235"/>
      <c r="M293" s="485"/>
    </row>
    <row r="294" spans="1:13" s="223" customFormat="1" ht="15.75">
      <c r="A294" s="226"/>
      <c r="B294" s="231"/>
      <c r="C294" s="265"/>
      <c r="D294" s="255"/>
      <c r="E294" s="523"/>
      <c r="F294" s="524"/>
      <c r="G294" s="524"/>
      <c r="H294" s="373"/>
      <c r="I294" s="235"/>
      <c r="M294" s="485"/>
    </row>
    <row r="295" spans="1:13" s="223" customFormat="1">
      <c r="A295" s="226"/>
      <c r="B295" s="231"/>
      <c r="C295" s="265"/>
      <c r="D295" s="265"/>
      <c r="E295" s="265"/>
      <c r="F295" s="265"/>
      <c r="M295" s="485"/>
    </row>
    <row r="296" spans="1:13" s="223" customFormat="1">
      <c r="A296" s="226"/>
      <c r="B296" s="231"/>
      <c r="C296" s="383" t="s">
        <v>489</v>
      </c>
      <c r="D296" s="383"/>
      <c r="E296" s="384">
        <f>(10*13.5)/6</f>
        <v>22.5</v>
      </c>
      <c r="F296" s="374">
        <f>D297*14000</f>
        <v>568400</v>
      </c>
      <c r="G296" s="374">
        <f>F296*E296</f>
        <v>12789000</v>
      </c>
      <c r="H296" s="375">
        <f>E296*D297</f>
        <v>913.5</v>
      </c>
      <c r="I296" s="255"/>
      <c r="M296" s="485"/>
    </row>
    <row r="297" spans="1:13" s="223" customFormat="1">
      <c r="A297" s="226"/>
      <c r="B297" s="231"/>
      <c r="C297" s="383"/>
      <c r="D297" s="383">
        <v>40.6</v>
      </c>
      <c r="E297" s="384">
        <f>E296</f>
        <v>22.5</v>
      </c>
      <c r="F297" s="374">
        <v>4000</v>
      </c>
      <c r="G297" s="374">
        <f>F297*E297*D297</f>
        <v>3654000</v>
      </c>
      <c r="H297" s="376"/>
      <c r="I297" s="255"/>
      <c r="M297" s="485"/>
    </row>
    <row r="298" spans="1:13" s="223" customFormat="1" ht="15.75">
      <c r="A298" s="226"/>
      <c r="B298" s="231"/>
      <c r="C298" s="383"/>
      <c r="D298" s="383"/>
      <c r="E298" s="384"/>
      <c r="F298" s="383"/>
      <c r="G298" s="374">
        <f>SUM(G296:G297)</f>
        <v>16443000</v>
      </c>
      <c r="H298" s="376"/>
      <c r="I298" s="235">
        <f>G298/H296</f>
        <v>18000</v>
      </c>
      <c r="M298" s="485"/>
    </row>
    <row r="299" spans="1:13" s="223" customFormat="1" ht="15.75">
      <c r="A299" s="226"/>
      <c r="B299" s="231"/>
      <c r="C299" s="531"/>
      <c r="D299" s="531"/>
      <c r="E299" s="533"/>
      <c r="F299" s="531"/>
      <c r="G299" s="534"/>
      <c r="H299" s="373"/>
      <c r="I299" s="235"/>
      <c r="M299" s="485"/>
    </row>
    <row r="300" spans="1:13" s="223" customFormat="1">
      <c r="A300" s="226"/>
      <c r="B300" s="231"/>
      <c r="C300" s="383" t="s">
        <v>490</v>
      </c>
      <c r="D300" s="383"/>
      <c r="E300" s="384">
        <f>(12*16.2)/6</f>
        <v>32.4</v>
      </c>
      <c r="F300" s="374">
        <f>D301*14000</f>
        <v>568400</v>
      </c>
      <c r="G300" s="374">
        <f>F300*E300</f>
        <v>18416160</v>
      </c>
      <c r="H300" s="375">
        <f>E300*D301</f>
        <v>1315.44</v>
      </c>
      <c r="I300" s="255"/>
      <c r="M300" s="485"/>
    </row>
    <row r="301" spans="1:13" s="223" customFormat="1">
      <c r="A301" s="226"/>
      <c r="B301" s="231"/>
      <c r="C301" s="383"/>
      <c r="D301" s="383">
        <v>40.6</v>
      </c>
      <c r="E301" s="384">
        <f>E300</f>
        <v>32.4</v>
      </c>
      <c r="F301" s="374">
        <v>4000</v>
      </c>
      <c r="G301" s="374">
        <f>F301*E301*D301</f>
        <v>5261760</v>
      </c>
      <c r="H301" s="376"/>
      <c r="I301" s="255"/>
      <c r="M301" s="485"/>
    </row>
    <row r="302" spans="1:13" s="223" customFormat="1" ht="15.75">
      <c r="A302" s="226"/>
      <c r="B302" s="231"/>
      <c r="C302" s="383"/>
      <c r="D302" s="383"/>
      <c r="E302" s="384"/>
      <c r="F302" s="383"/>
      <c r="G302" s="374">
        <f>SUM(G300:G301)</f>
        <v>23677920</v>
      </c>
      <c r="H302" s="376"/>
      <c r="I302" s="235">
        <f>G302/H300</f>
        <v>18000</v>
      </c>
      <c r="M302" s="485"/>
    </row>
    <row r="303" spans="1:13" s="223" customFormat="1" ht="15.75">
      <c r="A303" s="226"/>
      <c r="B303" s="231"/>
      <c r="C303" s="385" t="s">
        <v>329</v>
      </c>
      <c r="D303" s="535" t="s">
        <v>330</v>
      </c>
      <c r="E303" s="536">
        <v>0.12</v>
      </c>
      <c r="F303" s="537"/>
      <c r="G303" s="537"/>
      <c r="H303" s="538"/>
      <c r="I303" s="235"/>
      <c r="M303" s="485"/>
    </row>
    <row r="304" spans="1:13" s="223" customFormat="1" ht="15.75">
      <c r="A304" s="226"/>
      <c r="B304" s="231"/>
      <c r="C304" s="390" t="s">
        <v>331</v>
      </c>
      <c r="D304" s="539" t="s">
        <v>14</v>
      </c>
      <c r="E304" s="536">
        <f>0.52*E303</f>
        <v>6.2399999999999997E-2</v>
      </c>
      <c r="F304" s="537">
        <v>380000</v>
      </c>
      <c r="G304" s="537">
        <f t="shared" ref="G304:G310" si="5">F304*E304</f>
        <v>23712</v>
      </c>
      <c r="H304" s="538"/>
      <c r="I304" s="235"/>
      <c r="M304" s="485"/>
    </row>
    <row r="305" spans="1:13" s="223" customFormat="1" ht="15.75">
      <c r="A305" s="226"/>
      <c r="B305" s="231"/>
      <c r="C305" s="390" t="s">
        <v>332</v>
      </c>
      <c r="D305" s="539" t="s">
        <v>15</v>
      </c>
      <c r="E305" s="536">
        <f>0.84*E303</f>
        <v>0.10079999999999999</v>
      </c>
      <c r="F305" s="537">
        <v>300000</v>
      </c>
      <c r="G305" s="537">
        <f t="shared" si="5"/>
        <v>30239.999999999996</v>
      </c>
      <c r="H305" s="538"/>
      <c r="I305" s="235"/>
      <c r="M305" s="485"/>
    </row>
    <row r="306" spans="1:13" s="223" customFormat="1" ht="15.75">
      <c r="A306" s="226"/>
      <c r="B306" s="231"/>
      <c r="C306" s="393" t="s">
        <v>333</v>
      </c>
      <c r="D306" s="540" t="s">
        <v>220</v>
      </c>
      <c r="E306" s="541">
        <f>6*E303</f>
        <v>0.72</v>
      </c>
      <c r="F306" s="542">
        <v>55000</v>
      </c>
      <c r="G306" s="542">
        <f t="shared" si="5"/>
        <v>39600</v>
      </c>
      <c r="H306" s="538"/>
      <c r="I306" s="235"/>
      <c r="M306" s="485"/>
    </row>
    <row r="307" spans="1:13" s="223" customFormat="1" ht="15.75">
      <c r="A307" s="226"/>
      <c r="B307" s="231"/>
      <c r="C307" s="543" t="s">
        <v>334</v>
      </c>
      <c r="D307" s="544" t="s">
        <v>241</v>
      </c>
      <c r="E307" s="545">
        <f>1/10.8</f>
        <v>9.2592592592592587E-2</v>
      </c>
      <c r="F307" s="545">
        <v>530000</v>
      </c>
      <c r="G307" s="546">
        <f t="shared" si="5"/>
        <v>49074.074074074073</v>
      </c>
      <c r="H307" s="538"/>
      <c r="I307" s="235"/>
      <c r="M307" s="485"/>
    </row>
    <row r="308" spans="1:13" s="223" customFormat="1" ht="15.75">
      <c r="A308" s="226"/>
      <c r="B308" s="231"/>
      <c r="C308" s="538" t="s">
        <v>335</v>
      </c>
      <c r="D308" s="547" t="s">
        <v>14</v>
      </c>
      <c r="E308" s="538">
        <v>1</v>
      </c>
      <c r="F308" s="538">
        <v>115000</v>
      </c>
      <c r="G308" s="546">
        <f t="shared" si="5"/>
        <v>115000</v>
      </c>
      <c r="H308" s="538"/>
      <c r="I308" s="235"/>
      <c r="M308" s="485"/>
    </row>
    <row r="309" spans="1:13" s="223" customFormat="1" ht="15.75">
      <c r="A309" s="226"/>
      <c r="B309" s="231"/>
      <c r="C309" s="538" t="s">
        <v>336</v>
      </c>
      <c r="D309" s="547" t="s">
        <v>337</v>
      </c>
      <c r="E309" s="538">
        <v>0.5</v>
      </c>
      <c r="F309" s="538">
        <v>120000</v>
      </c>
      <c r="G309" s="546">
        <f t="shared" si="5"/>
        <v>60000</v>
      </c>
      <c r="H309" s="538"/>
      <c r="I309" s="235"/>
      <c r="M309" s="485"/>
    </row>
    <row r="310" spans="1:13" s="223" customFormat="1" ht="18">
      <c r="A310" s="226"/>
      <c r="B310" s="231"/>
      <c r="C310" s="402" t="s">
        <v>229</v>
      </c>
      <c r="D310" s="548" t="s">
        <v>15</v>
      </c>
      <c r="E310" s="549">
        <f>E303</f>
        <v>0.12</v>
      </c>
      <c r="F310" s="550">
        <v>300000</v>
      </c>
      <c r="G310" s="551">
        <f t="shared" si="5"/>
        <v>36000</v>
      </c>
      <c r="H310" s="552"/>
      <c r="I310" s="235"/>
      <c r="M310" s="485"/>
    </row>
    <row r="311" spans="1:13" s="223" customFormat="1" ht="15.75">
      <c r="A311" s="226"/>
      <c r="B311" s="231"/>
      <c r="C311" s="538"/>
      <c r="D311" s="538"/>
      <c r="E311" s="538"/>
      <c r="F311" s="538"/>
      <c r="G311" s="552">
        <f>SUM(G304:G310)</f>
        <v>353626.07407407404</v>
      </c>
      <c r="H311" s="552">
        <f>G311/E303</f>
        <v>2946883.9506172836</v>
      </c>
      <c r="I311" s="225"/>
      <c r="M311" s="485"/>
    </row>
    <row r="312" spans="1:13" s="223" customFormat="1">
      <c r="A312" s="226"/>
      <c r="B312" s="231"/>
      <c r="I312" s="225"/>
      <c r="M312" s="485"/>
    </row>
    <row r="313" spans="1:13" s="223" customFormat="1" ht="15.75">
      <c r="A313" s="226"/>
      <c r="B313" s="231"/>
      <c r="C313" s="385" t="s">
        <v>329</v>
      </c>
      <c r="D313" s="535" t="s">
        <v>330</v>
      </c>
      <c r="E313" s="536">
        <v>0.12</v>
      </c>
      <c r="F313" s="537"/>
      <c r="G313" s="537"/>
      <c r="H313" s="538"/>
      <c r="I313" s="225"/>
      <c r="M313" s="485"/>
    </row>
    <row r="314" spans="1:13" s="223" customFormat="1" ht="15.75">
      <c r="A314" s="226"/>
      <c r="B314" s="231"/>
      <c r="C314" s="390" t="s">
        <v>331</v>
      </c>
      <c r="D314" s="539" t="s">
        <v>14</v>
      </c>
      <c r="E314" s="536">
        <f>0.52*E313</f>
        <v>6.2399999999999997E-2</v>
      </c>
      <c r="F314" s="537">
        <v>380000</v>
      </c>
      <c r="G314" s="537">
        <f>F314*E314</f>
        <v>23712</v>
      </c>
      <c r="H314" s="538"/>
      <c r="I314" s="225"/>
      <c r="M314" s="485"/>
    </row>
    <row r="315" spans="1:13" s="223" customFormat="1" ht="15.75">
      <c r="A315" s="226"/>
      <c r="B315" s="231"/>
      <c r="C315" s="390" t="s">
        <v>332</v>
      </c>
      <c r="D315" s="539" t="s">
        <v>15</v>
      </c>
      <c r="E315" s="536">
        <f>0.84*E313</f>
        <v>0.10079999999999999</v>
      </c>
      <c r="F315" s="537">
        <v>300000</v>
      </c>
      <c r="G315" s="537">
        <f>F315*E315</f>
        <v>30239.999999999996</v>
      </c>
      <c r="H315" s="538"/>
      <c r="I315" s="225"/>
      <c r="M315" s="485"/>
    </row>
    <row r="316" spans="1:13" s="223" customFormat="1" ht="15.75">
      <c r="A316" s="226"/>
      <c r="B316" s="231"/>
      <c r="C316" s="393" t="s">
        <v>333</v>
      </c>
      <c r="D316" s="540" t="s">
        <v>15</v>
      </c>
      <c r="E316" s="541">
        <f>6*E313</f>
        <v>0.72</v>
      </c>
      <c r="F316" s="542">
        <v>55000</v>
      </c>
      <c r="G316" s="542">
        <f>F316*E316</f>
        <v>39600</v>
      </c>
      <c r="H316" s="538"/>
      <c r="I316" s="225"/>
      <c r="M316" s="485"/>
    </row>
    <row r="317" spans="1:13" s="223" customFormat="1" ht="15.75">
      <c r="A317" s="226"/>
      <c r="B317" s="231"/>
      <c r="C317" s="543" t="s">
        <v>338</v>
      </c>
      <c r="D317" s="544" t="s">
        <v>241</v>
      </c>
      <c r="E317" s="545">
        <f>1/10.8</f>
        <v>9.2592592592592587E-2</v>
      </c>
      <c r="F317" s="545">
        <v>530000</v>
      </c>
      <c r="G317" s="546">
        <f>F317*E317</f>
        <v>49074.074074074073</v>
      </c>
      <c r="H317" s="538"/>
      <c r="I317" s="225"/>
      <c r="M317" s="485"/>
    </row>
    <row r="318" spans="1:13" s="223" customFormat="1" ht="18">
      <c r="A318" s="226"/>
      <c r="B318" s="337"/>
      <c r="C318" s="402" t="s">
        <v>229</v>
      </c>
      <c r="D318" s="548" t="s">
        <v>15</v>
      </c>
      <c r="E318" s="549">
        <f>E313</f>
        <v>0.12</v>
      </c>
      <c r="F318" s="550">
        <v>300000</v>
      </c>
      <c r="G318" s="551">
        <f>F318*E318</f>
        <v>36000</v>
      </c>
      <c r="H318" s="538"/>
      <c r="I318" s="235"/>
      <c r="J318" s="227"/>
      <c r="M318" s="485"/>
    </row>
    <row r="319" spans="1:13" s="223" customFormat="1" ht="15.75">
      <c r="A319" s="226"/>
      <c r="B319" s="245"/>
      <c r="C319" s="408"/>
      <c r="D319" s="539"/>
      <c r="E319" s="536"/>
      <c r="F319" s="553"/>
      <c r="G319" s="554">
        <f>SUM(G314:G318)</f>
        <v>178626.07407407407</v>
      </c>
      <c r="H319" s="552">
        <f>G319/E313</f>
        <v>1488550.6172839506</v>
      </c>
      <c r="M319" s="485"/>
    </row>
    <row r="322" spans="1:13" s="223" customFormat="1">
      <c r="A322" s="226"/>
      <c r="B322" s="339"/>
      <c r="I322" s="225"/>
      <c r="J322" s="225"/>
      <c r="K322" s="225"/>
      <c r="M322" s="485"/>
    </row>
    <row r="323" spans="1:13" s="223" customFormat="1">
      <c r="A323" s="226" t="s">
        <v>292</v>
      </c>
      <c r="B323" s="339"/>
      <c r="I323" s="225"/>
      <c r="J323" s="225"/>
      <c r="K323" s="225"/>
      <c r="M323" s="485"/>
    </row>
    <row r="324" spans="1:13" s="223" customFormat="1">
      <c r="A324" s="226"/>
      <c r="B324" s="339">
        <v>1</v>
      </c>
      <c r="C324" s="223">
        <v>3</v>
      </c>
      <c r="D324" s="223">
        <v>1.5</v>
      </c>
      <c r="F324" s="223">
        <f>D324*C324</f>
        <v>4.5</v>
      </c>
      <c r="I324" s="225"/>
      <c r="J324" s="225"/>
      <c r="K324" s="225"/>
      <c r="M324" s="485"/>
    </row>
    <row r="325" spans="1:13" s="223" customFormat="1">
      <c r="A325" s="226"/>
      <c r="B325" s="339">
        <v>2</v>
      </c>
      <c r="C325" s="223">
        <v>11.75</v>
      </c>
      <c r="D325" s="223">
        <v>12</v>
      </c>
      <c r="F325" s="223">
        <f>D325*C325</f>
        <v>141</v>
      </c>
      <c r="I325" s="225"/>
      <c r="J325" s="225"/>
      <c r="K325" s="225"/>
      <c r="M325" s="485"/>
    </row>
    <row r="326" spans="1:13" s="223" customFormat="1">
      <c r="A326" s="226"/>
      <c r="B326" s="339">
        <v>3</v>
      </c>
      <c r="C326" s="223">
        <v>5.0599999999999996</v>
      </c>
      <c r="D326" s="223">
        <v>1.94</v>
      </c>
      <c r="E326" s="223">
        <v>2</v>
      </c>
      <c r="F326" s="223">
        <f>E326*D326*C326</f>
        <v>19.6328</v>
      </c>
      <c r="I326" s="225"/>
      <c r="J326" s="225"/>
      <c r="K326" s="225"/>
      <c r="M326" s="485"/>
    </row>
    <row r="327" spans="1:13" s="223" customFormat="1">
      <c r="A327" s="226"/>
      <c r="B327" s="339">
        <v>4</v>
      </c>
      <c r="C327" s="223">
        <v>6.28</v>
      </c>
      <c r="D327" s="223">
        <v>6.2</v>
      </c>
      <c r="F327" s="223">
        <f>D327*C327</f>
        <v>38.936</v>
      </c>
      <c r="I327" s="225"/>
      <c r="J327" s="225"/>
      <c r="K327" s="225"/>
      <c r="M327" s="485"/>
    </row>
    <row r="328" spans="1:13" s="223" customFormat="1">
      <c r="A328" s="226"/>
      <c r="B328" s="339">
        <v>5</v>
      </c>
      <c r="C328" s="223">
        <v>4.8</v>
      </c>
      <c r="D328" s="223">
        <v>2.86</v>
      </c>
      <c r="E328" s="223">
        <v>2</v>
      </c>
      <c r="F328" s="223">
        <f>E328*D328*C328</f>
        <v>27.456</v>
      </c>
      <c r="I328" s="225"/>
      <c r="J328" s="225"/>
      <c r="K328" s="225"/>
      <c r="M328" s="485"/>
    </row>
    <row r="329" spans="1:13" s="223" customFormat="1" ht="15.75">
      <c r="A329" s="226"/>
      <c r="G329" s="235">
        <f>SUM(F324:F328)</f>
        <v>231.5248</v>
      </c>
      <c r="H329" s="235"/>
      <c r="M329" s="485"/>
    </row>
    <row r="330" spans="1:13" s="223" customFormat="1">
      <c r="A330" s="226"/>
      <c r="B330" s="339"/>
      <c r="G330" s="340"/>
      <c r="H330" s="340"/>
      <c r="K330" s="225"/>
      <c r="M330" s="485"/>
    </row>
    <row r="331" spans="1:13" s="223" customFormat="1">
      <c r="A331" s="226"/>
      <c r="B331" s="333" t="s">
        <v>293</v>
      </c>
      <c r="D331" s="223">
        <v>4.8</v>
      </c>
      <c r="E331" s="223">
        <v>2.86</v>
      </c>
      <c r="F331" s="223">
        <v>2</v>
      </c>
      <c r="G331" s="223">
        <f>F331*E331*D331</f>
        <v>27.456</v>
      </c>
      <c r="J331" s="230"/>
      <c r="M331" s="485"/>
    </row>
    <row r="332" spans="1:13" s="223" customFormat="1">
      <c r="A332" s="226"/>
      <c r="B332" s="333" t="s">
        <v>294</v>
      </c>
      <c r="D332" s="223">
        <v>6.2</v>
      </c>
      <c r="E332" s="223">
        <v>6.28</v>
      </c>
      <c r="G332" s="223">
        <f>E332*D332</f>
        <v>38.936</v>
      </c>
      <c r="K332" s="340"/>
      <c r="M332" s="485"/>
    </row>
    <row r="333" spans="1:13" s="223" customFormat="1">
      <c r="A333" s="226"/>
      <c r="B333" s="333" t="s">
        <v>295</v>
      </c>
      <c r="D333" s="223">
        <v>11.75</v>
      </c>
      <c r="E333" s="223">
        <v>12</v>
      </c>
      <c r="F333" s="223">
        <v>4.5</v>
      </c>
      <c r="G333" s="223">
        <f>D333*E333+F333</f>
        <v>145.5</v>
      </c>
      <c r="K333" s="340"/>
      <c r="M333" s="485"/>
    </row>
    <row r="334" spans="1:13" s="223" customFormat="1" ht="17.25">
      <c r="A334" s="226"/>
      <c r="B334" s="339" t="s">
        <v>296</v>
      </c>
      <c r="D334" s="223">
        <v>2</v>
      </c>
      <c r="E334" s="223">
        <v>5</v>
      </c>
      <c r="F334" s="223">
        <v>2</v>
      </c>
      <c r="G334" s="223">
        <f>F334*E334*D334</f>
        <v>20</v>
      </c>
      <c r="J334" s="341"/>
      <c r="K334" s="340"/>
      <c r="M334" s="485"/>
    </row>
    <row r="335" spans="1:13" s="223" customFormat="1">
      <c r="A335" s="226"/>
      <c r="B335" s="339"/>
      <c r="J335" s="342"/>
      <c r="K335" s="342"/>
      <c r="M335" s="485"/>
    </row>
    <row r="336" spans="1:13" s="223" customFormat="1">
      <c r="A336" s="224"/>
      <c r="B336" s="343" t="s">
        <v>297</v>
      </c>
      <c r="D336" s="223">
        <v>3</v>
      </c>
      <c r="E336" s="223">
        <v>6</v>
      </c>
      <c r="F336" s="223">
        <f>E336*D336</f>
        <v>18</v>
      </c>
      <c r="G336" s="320"/>
      <c r="H336" s="227"/>
      <c r="M336" s="485"/>
    </row>
    <row r="337" spans="1:13" s="223" customFormat="1">
      <c r="A337" s="226"/>
      <c r="B337" s="339"/>
      <c r="F337" s="223">
        <v>1.4</v>
      </c>
      <c r="M337" s="485"/>
    </row>
    <row r="338" spans="1:13" s="223" customFormat="1" ht="15.75">
      <c r="A338" s="226"/>
      <c r="B338" s="339"/>
      <c r="F338" s="223">
        <f>SUM(F336:F337)</f>
        <v>19.399999999999999</v>
      </c>
      <c r="G338" s="223">
        <v>3</v>
      </c>
      <c r="H338" s="235">
        <f>G338*F338</f>
        <v>58.199999999999996</v>
      </c>
      <c r="M338" s="485"/>
    </row>
    <row r="339" spans="1:13" s="223" customFormat="1" ht="15.75">
      <c r="A339" s="226"/>
      <c r="B339" s="344"/>
      <c r="G339" s="230"/>
      <c r="H339" s="230"/>
      <c r="M339" s="485"/>
    </row>
    <row r="340" spans="1:13" s="223" customFormat="1">
      <c r="A340" s="226"/>
      <c r="B340" s="345" t="s">
        <v>298</v>
      </c>
      <c r="M340" s="485"/>
    </row>
    <row r="341" spans="1:13" s="223" customFormat="1">
      <c r="A341" s="226"/>
      <c r="B341" s="346"/>
      <c r="D341" s="223" t="s">
        <v>299</v>
      </c>
      <c r="E341" s="223" t="s">
        <v>267</v>
      </c>
      <c r="F341" s="223" t="s">
        <v>241</v>
      </c>
      <c r="G341" s="223" t="s">
        <v>300</v>
      </c>
      <c r="H341" s="223" t="s">
        <v>301</v>
      </c>
      <c r="M341" s="485"/>
    </row>
    <row r="342" spans="1:13" s="223" customFormat="1">
      <c r="A342" s="226"/>
      <c r="B342" s="346"/>
      <c r="C342" s="223" t="s">
        <v>302</v>
      </c>
      <c r="D342" s="223">
        <v>0.15</v>
      </c>
      <c r="E342" s="223">
        <v>1</v>
      </c>
      <c r="F342" s="223">
        <v>1</v>
      </c>
      <c r="G342" s="223">
        <f>F342*E342*D342</f>
        <v>0.15</v>
      </c>
      <c r="H342" s="223">
        <v>350000</v>
      </c>
      <c r="I342" s="223">
        <f>H342*G342</f>
        <v>52500</v>
      </c>
      <c r="M342" s="485"/>
    </row>
    <row r="343" spans="1:13" s="223" customFormat="1">
      <c r="A343" s="226"/>
      <c r="B343" s="346"/>
      <c r="C343" s="223" t="s">
        <v>303</v>
      </c>
      <c r="D343" s="223">
        <v>0.03</v>
      </c>
      <c r="E343" s="223">
        <v>1</v>
      </c>
      <c r="F343" s="223">
        <v>1</v>
      </c>
      <c r="G343" s="223">
        <f>F343*E343*D343</f>
        <v>0.03</v>
      </c>
      <c r="H343" s="223">
        <v>420000</v>
      </c>
      <c r="I343" s="223">
        <f>H343*G343</f>
        <v>12600</v>
      </c>
      <c r="M343" s="485"/>
    </row>
    <row r="344" spans="1:13" s="223" customFormat="1">
      <c r="A344" s="226"/>
      <c r="C344" s="223" t="s">
        <v>304</v>
      </c>
      <c r="D344" s="223">
        <v>1</v>
      </c>
      <c r="E344" s="223">
        <v>1</v>
      </c>
      <c r="F344" s="225">
        <v>1</v>
      </c>
      <c r="G344" s="223">
        <f>F344*E344*D344</f>
        <v>1</v>
      </c>
      <c r="H344" s="225">
        <v>100000</v>
      </c>
      <c r="I344" s="223">
        <f>H344*G344</f>
        <v>100000</v>
      </c>
      <c r="M344" s="485"/>
    </row>
    <row r="345" spans="1:13" s="223" customFormat="1">
      <c r="A345" s="226"/>
      <c r="C345" s="223" t="s">
        <v>229</v>
      </c>
      <c r="E345" s="225"/>
      <c r="G345" s="225">
        <v>1</v>
      </c>
      <c r="H345" s="225">
        <v>50000</v>
      </c>
      <c r="I345" s="223">
        <f>H345*G345</f>
        <v>50000</v>
      </c>
      <c r="M345" s="485"/>
    </row>
    <row r="346" spans="1:13" s="223" customFormat="1">
      <c r="A346" s="226"/>
      <c r="B346" s="330"/>
      <c r="D346" s="223" t="s">
        <v>305</v>
      </c>
      <c r="J346" s="223">
        <f>SUM(I342:I345)</f>
        <v>215100</v>
      </c>
      <c r="M346" s="485"/>
    </row>
    <row r="347" spans="1:13" s="223" customFormat="1">
      <c r="A347" s="226"/>
      <c r="E347" s="225"/>
      <c r="M347" s="485"/>
    </row>
    <row r="348" spans="1:13" s="223" customFormat="1">
      <c r="A348" s="226"/>
      <c r="C348" s="223" t="s">
        <v>142</v>
      </c>
      <c r="D348" s="223" t="s">
        <v>299</v>
      </c>
      <c r="E348" s="225" t="s">
        <v>306</v>
      </c>
      <c r="F348" s="223" t="s">
        <v>307</v>
      </c>
      <c r="G348" s="225" t="s">
        <v>308</v>
      </c>
      <c r="H348" s="225"/>
      <c r="M348" s="485"/>
    </row>
    <row r="349" spans="1:13" s="223" customFormat="1">
      <c r="A349" s="226"/>
      <c r="D349" s="223">
        <v>0.2</v>
      </c>
      <c r="E349" s="223">
        <v>6</v>
      </c>
      <c r="F349" s="223">
        <v>2</v>
      </c>
      <c r="G349" s="223" t="s">
        <v>15</v>
      </c>
      <c r="H349" s="225">
        <f>F349*E349*D349</f>
        <v>2.4000000000000004</v>
      </c>
      <c r="I349" s="225"/>
      <c r="M349" s="485"/>
    </row>
    <row r="351" spans="1:13" s="223" customFormat="1" ht="18">
      <c r="A351" s="226"/>
      <c r="B351" s="347" t="s">
        <v>309</v>
      </c>
      <c r="C351" s="348" t="s">
        <v>310</v>
      </c>
      <c r="D351" s="349">
        <f>1*0.15*0.3</f>
        <v>4.4999999999999998E-2</v>
      </c>
      <c r="E351" s="350" t="s">
        <v>311</v>
      </c>
      <c r="F351" s="351"/>
      <c r="G351" s="352"/>
      <c r="H351" s="353"/>
      <c r="M351" s="485"/>
    </row>
    <row r="352" spans="1:13" s="223" customFormat="1" ht="16.5">
      <c r="A352" s="226"/>
      <c r="B352" s="347"/>
      <c r="C352" s="354" t="s">
        <v>234</v>
      </c>
      <c r="D352" s="355"/>
      <c r="E352" s="356"/>
      <c r="F352" s="357"/>
      <c r="G352" s="357"/>
      <c r="H352" s="353"/>
      <c r="M352" s="485"/>
    </row>
    <row r="353" spans="1:13" s="223" customFormat="1" ht="16.5">
      <c r="A353" s="226"/>
      <c r="B353" s="347"/>
      <c r="C353" s="354" t="s">
        <v>219</v>
      </c>
      <c r="D353" s="355">
        <f>D351*6</f>
        <v>0.27</v>
      </c>
      <c r="E353" s="356" t="s">
        <v>220</v>
      </c>
      <c r="F353" s="357">
        <v>53000</v>
      </c>
      <c r="G353" s="357">
        <f t="shared" ref="G353:G364" si="6">F353*D353</f>
        <v>14310.000000000002</v>
      </c>
      <c r="H353" s="353"/>
      <c r="M353" s="485"/>
    </row>
    <row r="354" spans="1:13" s="223" customFormat="1" ht="18">
      <c r="A354" s="226"/>
      <c r="B354" s="347"/>
      <c r="C354" s="354" t="s">
        <v>222</v>
      </c>
      <c r="D354" s="355">
        <f>D351*0.54</f>
        <v>2.4300000000000002E-2</v>
      </c>
      <c r="E354" s="356" t="s">
        <v>311</v>
      </c>
      <c r="F354" s="357">
        <v>310000</v>
      </c>
      <c r="G354" s="357">
        <f t="shared" si="6"/>
        <v>7533.0000000000009</v>
      </c>
      <c r="H354" s="353"/>
      <c r="M354" s="485"/>
    </row>
    <row r="355" spans="1:13" s="223" customFormat="1" ht="18">
      <c r="A355" s="226"/>
      <c r="B355" s="347"/>
      <c r="C355" s="354" t="s">
        <v>224</v>
      </c>
      <c r="D355" s="355">
        <f>D351*0.82</f>
        <v>3.6899999999999995E-2</v>
      </c>
      <c r="E355" s="356" t="s">
        <v>311</v>
      </c>
      <c r="F355" s="357">
        <v>310000</v>
      </c>
      <c r="G355" s="357">
        <f t="shared" si="6"/>
        <v>11438.999999999998</v>
      </c>
      <c r="H355" s="353"/>
      <c r="M355" s="485"/>
    </row>
    <row r="356" spans="1:13" s="223" customFormat="1" ht="16.5">
      <c r="A356" s="226"/>
      <c r="B356" s="347"/>
      <c r="C356" s="354" t="s">
        <v>226</v>
      </c>
      <c r="D356" s="355">
        <v>1</v>
      </c>
      <c r="E356" s="356" t="s">
        <v>20</v>
      </c>
      <c r="F356" s="357">
        <v>103000</v>
      </c>
      <c r="G356" s="357">
        <f t="shared" si="6"/>
        <v>103000</v>
      </c>
      <c r="H356" s="353"/>
      <c r="M356" s="485"/>
    </row>
    <row r="357" spans="1:13" s="223" customFormat="1" ht="16.5">
      <c r="A357" s="226"/>
      <c r="B357" s="347"/>
      <c r="C357" s="354" t="s">
        <v>239</v>
      </c>
      <c r="D357" s="355">
        <v>0.2</v>
      </c>
      <c r="E357" s="356" t="s">
        <v>20</v>
      </c>
      <c r="F357" s="357">
        <v>39000</v>
      </c>
      <c r="G357" s="357">
        <f t="shared" si="6"/>
        <v>7800</v>
      </c>
      <c r="H357" s="353"/>
      <c r="M357" s="485"/>
    </row>
    <row r="358" spans="1:13" s="223" customFormat="1" ht="16.5">
      <c r="A358" s="226"/>
      <c r="B358" s="347"/>
      <c r="C358" s="354" t="s">
        <v>240</v>
      </c>
      <c r="D358" s="355">
        <v>0.5</v>
      </c>
      <c r="E358" s="356" t="s">
        <v>241</v>
      </c>
      <c r="F358" s="357">
        <v>95000</v>
      </c>
      <c r="G358" s="357">
        <f t="shared" si="6"/>
        <v>47500</v>
      </c>
      <c r="H358" s="353"/>
      <c r="I358" s="225"/>
      <c r="M358" s="485"/>
    </row>
    <row r="359" spans="1:13" s="223" customFormat="1" ht="16.5">
      <c r="A359" s="226"/>
      <c r="B359" s="347"/>
      <c r="C359" s="354" t="s">
        <v>242</v>
      </c>
      <c r="D359" s="355">
        <f>D351*2.5</f>
        <v>0.11249999999999999</v>
      </c>
      <c r="E359" s="356" t="s">
        <v>17</v>
      </c>
      <c r="F359" s="357">
        <v>20000</v>
      </c>
      <c r="G359" s="357">
        <f t="shared" si="6"/>
        <v>2250</v>
      </c>
      <c r="H359" s="353"/>
      <c r="I359" s="225"/>
      <c r="M359" s="485"/>
    </row>
    <row r="360" spans="1:13" s="223" customFormat="1" ht="16.5">
      <c r="A360" s="226"/>
      <c r="B360" s="347"/>
      <c r="C360" s="354" t="s">
        <v>243</v>
      </c>
      <c r="D360" s="355">
        <v>0.02</v>
      </c>
      <c r="E360" s="356" t="s">
        <v>15</v>
      </c>
      <c r="F360" s="357">
        <v>2500000</v>
      </c>
      <c r="G360" s="357">
        <f t="shared" si="6"/>
        <v>50000</v>
      </c>
      <c r="H360" s="353"/>
      <c r="I360" s="225"/>
      <c r="M360" s="485"/>
    </row>
    <row r="361" spans="1:13" s="223" customFormat="1" ht="16.5">
      <c r="A361" s="226"/>
      <c r="B361" s="347"/>
      <c r="C361" s="354" t="s">
        <v>244</v>
      </c>
      <c r="D361" s="355">
        <f>D351*2</f>
        <v>0.09</v>
      </c>
      <c r="E361" s="356" t="s">
        <v>17</v>
      </c>
      <c r="F361" s="357">
        <v>18000</v>
      </c>
      <c r="G361" s="357">
        <f t="shared" si="6"/>
        <v>1620</v>
      </c>
      <c r="H361" s="353"/>
      <c r="I361" s="225"/>
      <c r="M361" s="485"/>
    </row>
    <row r="362" spans="1:13" s="223" customFormat="1" ht="16.5">
      <c r="A362" s="226"/>
      <c r="B362" s="347"/>
      <c r="C362" s="354" t="s">
        <v>245</v>
      </c>
      <c r="D362" s="358">
        <f>0.3*0.12*3</f>
        <v>0.10799999999999998</v>
      </c>
      <c r="E362" s="359" t="s">
        <v>14</v>
      </c>
      <c r="F362" s="360">
        <v>20000</v>
      </c>
      <c r="G362" s="360">
        <f t="shared" si="6"/>
        <v>2159.9999999999995</v>
      </c>
      <c r="H362" s="353"/>
      <c r="I362" s="225"/>
      <c r="M362" s="485"/>
    </row>
    <row r="363" spans="1:13" s="223" customFormat="1" ht="16.5">
      <c r="A363" s="226"/>
      <c r="B363" s="347"/>
      <c r="C363" s="354" t="s">
        <v>228</v>
      </c>
      <c r="D363" s="358">
        <v>8.67</v>
      </c>
      <c r="E363" s="359" t="s">
        <v>17</v>
      </c>
      <c r="F363" s="361">
        <v>3000</v>
      </c>
      <c r="G363" s="360">
        <f t="shared" si="6"/>
        <v>26010</v>
      </c>
      <c r="H363" s="353"/>
      <c r="I363" s="225"/>
      <c r="M363" s="485"/>
    </row>
    <row r="364" spans="1:13" s="223" customFormat="1" ht="18">
      <c r="A364" s="226"/>
      <c r="B364" s="347"/>
      <c r="C364" s="362" t="s">
        <v>229</v>
      </c>
      <c r="D364" s="358">
        <f>D351*1</f>
        <v>4.4999999999999998E-2</v>
      </c>
      <c r="E364" s="359" t="s">
        <v>311</v>
      </c>
      <c r="F364" s="361">
        <v>300000</v>
      </c>
      <c r="G364" s="360">
        <f t="shared" si="6"/>
        <v>13500</v>
      </c>
      <c r="H364" s="353"/>
      <c r="I364" s="225"/>
      <c r="M364" s="485"/>
    </row>
    <row r="365" spans="1:13" s="223" customFormat="1" ht="16.5">
      <c r="A365" s="226"/>
      <c r="B365" s="363"/>
      <c r="C365" s="1148" t="s">
        <v>246</v>
      </c>
      <c r="D365" s="1149"/>
      <c r="E365" s="1149"/>
      <c r="F365" s="1149"/>
      <c r="G365" s="364">
        <f>SUM(G353:G364)</f>
        <v>287122</v>
      </c>
      <c r="H365" s="353">
        <f>G365/D351</f>
        <v>6380488.888888889</v>
      </c>
      <c r="I365" s="225"/>
      <c r="M365" s="485"/>
    </row>
    <row r="366" spans="1:13" s="223" customFormat="1">
      <c r="A366" s="226"/>
      <c r="I366" s="225"/>
      <c r="M366" s="485"/>
    </row>
    <row r="367" spans="1:13" s="223" customFormat="1" ht="18">
      <c r="A367" s="226"/>
      <c r="B367" s="340"/>
      <c r="C367" s="348" t="s">
        <v>312</v>
      </c>
      <c r="D367" s="349">
        <f>0.2*6*2</f>
        <v>2.4000000000000004</v>
      </c>
      <c r="E367" s="350" t="s">
        <v>311</v>
      </c>
      <c r="F367" s="351"/>
      <c r="G367" s="352"/>
      <c r="H367" s="353"/>
      <c r="I367" s="225"/>
      <c r="M367" s="485"/>
    </row>
    <row r="368" spans="1:13" s="223" customFormat="1" ht="16.5">
      <c r="A368" s="226"/>
      <c r="B368" s="340"/>
      <c r="C368" s="354" t="s">
        <v>234</v>
      </c>
      <c r="D368" s="355"/>
      <c r="E368" s="356"/>
      <c r="F368" s="357"/>
      <c r="G368" s="357"/>
      <c r="H368" s="353"/>
      <c r="I368" s="225"/>
      <c r="M368" s="485"/>
    </row>
    <row r="369" spans="1:13" s="223" customFormat="1" ht="16.5">
      <c r="A369" s="226"/>
      <c r="B369" s="340"/>
      <c r="C369" s="354" t="s">
        <v>219</v>
      </c>
      <c r="D369" s="355">
        <f>D367*6</f>
        <v>14.400000000000002</v>
      </c>
      <c r="E369" s="356" t="s">
        <v>220</v>
      </c>
      <c r="F369" s="357">
        <v>53000</v>
      </c>
      <c r="G369" s="357">
        <f t="shared" ref="G369:G379" si="7">F369*D369</f>
        <v>763200.00000000012</v>
      </c>
      <c r="H369" s="353"/>
      <c r="I369" s="225"/>
      <c r="M369" s="485"/>
    </row>
    <row r="370" spans="1:13" s="223" customFormat="1" ht="18">
      <c r="A370" s="226"/>
      <c r="B370" s="340"/>
      <c r="C370" s="354" t="s">
        <v>222</v>
      </c>
      <c r="D370" s="355">
        <f>D367*0.54</f>
        <v>1.2960000000000003</v>
      </c>
      <c r="E370" s="356" t="s">
        <v>311</v>
      </c>
      <c r="F370" s="357">
        <v>310000</v>
      </c>
      <c r="G370" s="357">
        <f t="shared" si="7"/>
        <v>401760.00000000006</v>
      </c>
      <c r="H370" s="353"/>
      <c r="I370" s="342"/>
      <c r="M370" s="485"/>
    </row>
    <row r="371" spans="1:13" s="223" customFormat="1" ht="18">
      <c r="A371" s="226"/>
      <c r="C371" s="354" t="s">
        <v>224</v>
      </c>
      <c r="D371" s="355">
        <f>D367*0.82</f>
        <v>1.9680000000000002</v>
      </c>
      <c r="E371" s="356" t="s">
        <v>311</v>
      </c>
      <c r="F371" s="357">
        <v>310000</v>
      </c>
      <c r="G371" s="357">
        <f t="shared" si="7"/>
        <v>610080.00000000012</v>
      </c>
      <c r="H371" s="353"/>
      <c r="M371" s="485"/>
    </row>
    <row r="372" spans="1:13" s="223" customFormat="1" ht="16.5">
      <c r="A372" s="226"/>
      <c r="C372" s="354" t="s">
        <v>313</v>
      </c>
      <c r="D372" s="355">
        <v>28</v>
      </c>
      <c r="E372" s="356" t="s">
        <v>20</v>
      </c>
      <c r="F372" s="357">
        <v>87000</v>
      </c>
      <c r="G372" s="357">
        <f t="shared" si="7"/>
        <v>2436000</v>
      </c>
      <c r="H372" s="353"/>
      <c r="M372" s="485"/>
    </row>
    <row r="373" spans="1:13" s="223" customFormat="1" ht="16.5">
      <c r="A373" s="226"/>
      <c r="C373" s="354" t="s">
        <v>240</v>
      </c>
      <c r="D373" s="355">
        <v>4</v>
      </c>
      <c r="E373" s="356" t="s">
        <v>241</v>
      </c>
      <c r="F373" s="357">
        <v>95000</v>
      </c>
      <c r="G373" s="357">
        <f t="shared" si="7"/>
        <v>380000</v>
      </c>
      <c r="H373" s="353"/>
      <c r="M373" s="485"/>
    </row>
    <row r="374" spans="1:13" s="223" customFormat="1" ht="18">
      <c r="A374" s="226"/>
      <c r="C374" s="354" t="s">
        <v>242</v>
      </c>
      <c r="D374" s="355">
        <f>D367*2.5</f>
        <v>6.0000000000000009</v>
      </c>
      <c r="E374" s="356" t="s">
        <v>17</v>
      </c>
      <c r="F374" s="357">
        <v>20000</v>
      </c>
      <c r="G374" s="357">
        <f t="shared" si="7"/>
        <v>120000.00000000001</v>
      </c>
      <c r="H374" s="353"/>
      <c r="I374" s="341"/>
      <c r="M374" s="485"/>
    </row>
    <row r="375" spans="1:13" s="223" customFormat="1" ht="16.5">
      <c r="A375" s="226"/>
      <c r="C375" s="354" t="s">
        <v>243</v>
      </c>
      <c r="D375" s="355">
        <v>0.5</v>
      </c>
      <c r="E375" s="356" t="s">
        <v>15</v>
      </c>
      <c r="F375" s="357">
        <v>2500000</v>
      </c>
      <c r="G375" s="357">
        <f t="shared" si="7"/>
        <v>1250000</v>
      </c>
      <c r="H375" s="353"/>
      <c r="I375" s="342"/>
      <c r="J375" s="342"/>
      <c r="M375" s="485"/>
    </row>
    <row r="376" spans="1:13" s="223" customFormat="1" ht="16.5">
      <c r="A376" s="226"/>
      <c r="C376" s="354" t="s">
        <v>244</v>
      </c>
      <c r="D376" s="355">
        <f>D367*2</f>
        <v>4.8000000000000007</v>
      </c>
      <c r="E376" s="356" t="s">
        <v>17</v>
      </c>
      <c r="F376" s="357">
        <v>18000</v>
      </c>
      <c r="G376" s="357">
        <f t="shared" si="7"/>
        <v>86400.000000000015</v>
      </c>
      <c r="H376" s="353"/>
      <c r="M376" s="485"/>
    </row>
    <row r="377" spans="1:13" s="223" customFormat="1" ht="16.5">
      <c r="A377" s="226"/>
      <c r="C377" s="354" t="s">
        <v>245</v>
      </c>
      <c r="D377" s="358">
        <f>2*6</f>
        <v>12</v>
      </c>
      <c r="E377" s="359" t="s">
        <v>14</v>
      </c>
      <c r="F377" s="360">
        <v>20000</v>
      </c>
      <c r="G377" s="360">
        <f t="shared" si="7"/>
        <v>240000</v>
      </c>
      <c r="H377" s="353"/>
      <c r="M377" s="485"/>
    </row>
    <row r="378" spans="1:13" s="223" customFormat="1" ht="16.5">
      <c r="A378" s="226"/>
      <c r="C378" s="354" t="s">
        <v>228</v>
      </c>
      <c r="D378" s="358">
        <f>D372*7.39</f>
        <v>206.92</v>
      </c>
      <c r="E378" s="359" t="s">
        <v>17</v>
      </c>
      <c r="F378" s="361">
        <v>3000</v>
      </c>
      <c r="G378" s="360">
        <f t="shared" si="7"/>
        <v>620760</v>
      </c>
      <c r="H378" s="353"/>
      <c r="M378" s="485"/>
    </row>
    <row r="379" spans="1:13" s="223" customFormat="1" ht="18">
      <c r="A379" s="226"/>
      <c r="C379" s="362" t="s">
        <v>229</v>
      </c>
      <c r="D379" s="358">
        <f>D367*1</f>
        <v>2.4000000000000004</v>
      </c>
      <c r="E379" s="359" t="s">
        <v>311</v>
      </c>
      <c r="F379" s="361">
        <v>300000</v>
      </c>
      <c r="G379" s="360">
        <f t="shared" si="7"/>
        <v>720000.00000000012</v>
      </c>
      <c r="H379" s="353"/>
      <c r="M379" s="485"/>
    </row>
    <row r="380" spans="1:13" s="223" customFormat="1" ht="18">
      <c r="A380" s="226"/>
      <c r="C380" s="1148" t="s">
        <v>246</v>
      </c>
      <c r="D380" s="1149"/>
      <c r="E380" s="1149"/>
      <c r="F380" s="1149"/>
      <c r="G380" s="364">
        <f>SUM(G369:G379)</f>
        <v>7628200</v>
      </c>
      <c r="H380" s="353">
        <f>G380/D367</f>
        <v>3178416.666666666</v>
      </c>
      <c r="I380" s="341"/>
      <c r="M380" s="485"/>
    </row>
    <row r="381" spans="1:13" s="223" customFormat="1">
      <c r="A381" s="226"/>
      <c r="G381" s="225"/>
      <c r="H381" s="225"/>
      <c r="I381" s="225"/>
      <c r="J381" s="225"/>
      <c r="M381" s="485"/>
    </row>
    <row r="382" spans="1:13" s="223" customFormat="1">
      <c r="A382" s="226"/>
      <c r="M382" s="485"/>
    </row>
    <row r="383" spans="1:13" s="223" customFormat="1" ht="15.75">
      <c r="A383" s="226"/>
      <c r="B383" s="339"/>
      <c r="C383" s="296" t="s">
        <v>491</v>
      </c>
      <c r="D383" s="531"/>
      <c r="E383" s="533"/>
      <c r="F383" s="531"/>
      <c r="G383" s="374"/>
      <c r="M383" s="485"/>
    </row>
    <row r="384" spans="1:13">
      <c r="C384" s="555" t="s">
        <v>492</v>
      </c>
      <c r="D384" s="383"/>
      <c r="E384" s="384">
        <f>1/12</f>
        <v>8.3333333333333329E-2</v>
      </c>
      <c r="F384" s="374">
        <f>D385*14000</f>
        <v>4970000</v>
      </c>
      <c r="G384" s="374">
        <f>F384*E384</f>
        <v>414166.66666666663</v>
      </c>
    </row>
    <row r="385" spans="1:13">
      <c r="C385" s="383"/>
      <c r="D385" s="383">
        <v>355</v>
      </c>
      <c r="E385" s="384">
        <f>E384</f>
        <v>8.3333333333333329E-2</v>
      </c>
      <c r="F385" s="374">
        <v>4000</v>
      </c>
      <c r="G385" s="374">
        <f>F385*E385*D385</f>
        <v>118333.33333333333</v>
      </c>
    </row>
    <row r="386" spans="1:13" s="223" customFormat="1" ht="18">
      <c r="A386" s="226"/>
      <c r="C386" s="525" t="s">
        <v>493</v>
      </c>
      <c r="D386" s="383"/>
      <c r="E386" s="384">
        <f>0.6/2.97</f>
        <v>0.20202020202020199</v>
      </c>
      <c r="F386" s="374">
        <f>D387*14000</f>
        <v>3934000</v>
      </c>
      <c r="G386" s="374">
        <f>F386*E386</f>
        <v>794747.47474747465</v>
      </c>
      <c r="I386" s="341"/>
      <c r="M386" s="485"/>
    </row>
    <row r="387" spans="1:13" s="223" customFormat="1">
      <c r="A387" s="226"/>
      <c r="C387" s="531"/>
      <c r="D387" s="531">
        <v>281</v>
      </c>
      <c r="E387" s="533">
        <f>E386</f>
        <v>0.20202020202020199</v>
      </c>
      <c r="F387" s="531">
        <v>4000</v>
      </c>
      <c r="G387" s="374">
        <f>F387*E387*D387</f>
        <v>227070.70707070705</v>
      </c>
      <c r="H387" s="225"/>
      <c r="I387" s="225"/>
      <c r="J387" s="225"/>
      <c r="M387" s="485"/>
    </row>
    <row r="388" spans="1:13" ht="15.75">
      <c r="C388" s="246" t="s">
        <v>494</v>
      </c>
      <c r="D388" s="531"/>
      <c r="E388" s="533">
        <v>12</v>
      </c>
      <c r="F388" s="531">
        <v>70000</v>
      </c>
      <c r="G388" s="374">
        <f>F388*E388</f>
        <v>840000</v>
      </c>
    </row>
    <row r="389" spans="1:13" s="223" customFormat="1">
      <c r="A389" s="226"/>
      <c r="B389" s="339"/>
      <c r="C389" s="531"/>
      <c r="D389" s="531"/>
      <c r="E389" s="533"/>
      <c r="F389" s="531"/>
      <c r="G389" s="556">
        <f>SUM(G384:G388)</f>
        <v>2394318.1818181816</v>
      </c>
      <c r="M389" s="485"/>
    </row>
    <row r="390" spans="1:13" s="223" customFormat="1">
      <c r="A390" s="226"/>
      <c r="B390" s="339"/>
      <c r="C390" s="336"/>
      <c r="M390" s="485"/>
    </row>
    <row r="391" spans="1:13" s="223" customFormat="1" ht="15.75">
      <c r="A391" s="226"/>
      <c r="B391" s="339"/>
      <c r="C391" s="296" t="s">
        <v>495</v>
      </c>
      <c r="D391" s="531"/>
      <c r="E391" s="533"/>
      <c r="F391" s="531"/>
      <c r="G391" s="374"/>
      <c r="M391" s="485"/>
    </row>
    <row r="392" spans="1:13" s="223" customFormat="1">
      <c r="A392" s="226"/>
      <c r="B392" s="339"/>
      <c r="C392" s="555" t="s">
        <v>492</v>
      </c>
      <c r="D392" s="383"/>
      <c r="E392" s="384">
        <f>1/12</f>
        <v>8.3333333333333329E-2</v>
      </c>
      <c r="F392" s="374">
        <f>D393*14000</f>
        <v>4970000</v>
      </c>
      <c r="G392" s="374">
        <f>F392*E392</f>
        <v>414166.66666666663</v>
      </c>
      <c r="M392" s="485"/>
    </row>
    <row r="393" spans="1:13">
      <c r="C393" s="383"/>
      <c r="D393" s="383">
        <v>355</v>
      </c>
      <c r="E393" s="384">
        <f>E392</f>
        <v>8.3333333333333329E-2</v>
      </c>
      <c r="F393" s="374">
        <v>4000</v>
      </c>
      <c r="G393" s="374">
        <f>F393*E393*D393</f>
        <v>118333.33333333333</v>
      </c>
    </row>
    <row r="394" spans="1:13" s="223" customFormat="1" ht="15.75">
      <c r="A394" s="226"/>
      <c r="C394" s="525" t="s">
        <v>493</v>
      </c>
      <c r="D394" s="383"/>
      <c r="E394" s="384">
        <f>0.62/2.97</f>
        <v>0.20875420875420875</v>
      </c>
      <c r="F394" s="374">
        <f>D395*14000</f>
        <v>3944360</v>
      </c>
      <c r="G394" s="374">
        <f>F394*E394</f>
        <v>823401.75084175076</v>
      </c>
      <c r="M394" s="485"/>
    </row>
    <row r="395" spans="1:13" s="223" customFormat="1">
      <c r="A395" s="365"/>
      <c r="B395" s="366"/>
      <c r="C395" s="531"/>
      <c r="D395" s="531">
        <v>281.74</v>
      </c>
      <c r="E395" s="533">
        <f>E394</f>
        <v>0.20875420875420875</v>
      </c>
      <c r="F395" s="531">
        <v>4000</v>
      </c>
      <c r="G395" s="374">
        <f>F395*E395*D395</f>
        <v>235257.6430976431</v>
      </c>
      <c r="M395" s="485"/>
    </row>
    <row r="396" spans="1:13" s="223" customFormat="1" ht="15.75">
      <c r="A396" s="367"/>
      <c r="B396" s="330"/>
      <c r="C396" s="246" t="s">
        <v>494</v>
      </c>
      <c r="D396" s="531">
        <v>4</v>
      </c>
      <c r="E396" s="533">
        <v>12</v>
      </c>
      <c r="F396" s="531">
        <v>70000</v>
      </c>
      <c r="G396" s="374">
        <f>F396*E396</f>
        <v>840000</v>
      </c>
      <c r="M396" s="485"/>
    </row>
    <row r="397" spans="1:13" s="223" customFormat="1">
      <c r="A397" s="367"/>
      <c r="B397" s="330"/>
      <c r="C397" s="531"/>
      <c r="D397" s="531"/>
      <c r="E397" s="533"/>
      <c r="F397" s="531"/>
      <c r="G397" s="556">
        <f>SUM(G392:G396)</f>
        <v>2431159.3939393936</v>
      </c>
      <c r="M397" s="485"/>
    </row>
    <row r="398" spans="1:13" s="223" customFormat="1">
      <c r="A398" s="367"/>
      <c r="B398" s="330"/>
      <c r="C398" s="265"/>
      <c r="D398" s="265"/>
      <c r="M398" s="485"/>
    </row>
    <row r="399" spans="1:13" s="223" customFormat="1">
      <c r="A399" s="367"/>
      <c r="B399" s="330"/>
      <c r="C399" s="265"/>
      <c r="D399" s="265"/>
      <c r="M399" s="485"/>
    </row>
    <row r="400" spans="1:13" s="223" customFormat="1">
      <c r="A400" s="367"/>
      <c r="B400" s="330"/>
      <c r="C400" s="265"/>
      <c r="D400" s="265"/>
      <c r="M400" s="485"/>
    </row>
    <row r="401" spans="1:13" s="223" customFormat="1">
      <c r="A401" s="367"/>
      <c r="B401" s="330"/>
      <c r="C401" s="265"/>
      <c r="D401" s="265"/>
      <c r="M401" s="485"/>
    </row>
    <row r="402" spans="1:13" s="223" customFormat="1">
      <c r="A402" s="367"/>
      <c r="B402" s="330"/>
      <c r="C402" s="265"/>
      <c r="D402" s="265"/>
      <c r="M402" s="485"/>
    </row>
    <row r="403" spans="1:13" s="223" customFormat="1" ht="17.25">
      <c r="A403" s="367"/>
      <c r="B403" s="330"/>
      <c r="C403" s="265"/>
      <c r="D403" s="265"/>
      <c r="I403" s="341"/>
      <c r="M403" s="485"/>
    </row>
    <row r="404" spans="1:13" s="223" customFormat="1">
      <c r="A404" s="367"/>
      <c r="B404" s="330"/>
      <c r="C404" s="265"/>
      <c r="D404" s="265"/>
      <c r="I404" s="368"/>
      <c r="J404" s="368"/>
      <c r="M404" s="485"/>
    </row>
    <row r="405" spans="1:13" s="223" customFormat="1">
      <c r="A405" s="367"/>
      <c r="B405" s="330"/>
      <c r="C405" s="265"/>
      <c r="D405" s="265"/>
      <c r="M405" s="485"/>
    </row>
    <row r="406" spans="1:13" s="223" customFormat="1">
      <c r="A406" s="367"/>
      <c r="B406" s="330"/>
      <c r="C406" s="265"/>
      <c r="D406" s="265"/>
      <c r="G406" s="369"/>
      <c r="H406" s="369"/>
      <c r="I406" s="369"/>
      <c r="J406" s="369"/>
      <c r="M406" s="485"/>
    </row>
    <row r="407" spans="1:13" s="223" customFormat="1">
      <c r="A407" s="367"/>
      <c r="B407" s="330"/>
      <c r="C407" s="265"/>
      <c r="D407" s="265"/>
      <c r="M407" s="485"/>
    </row>
    <row r="408" spans="1:13" s="223" customFormat="1">
      <c r="A408" s="367"/>
      <c r="B408" s="330"/>
      <c r="C408" s="265"/>
      <c r="D408" s="265"/>
      <c r="M408" s="485"/>
    </row>
    <row r="409" spans="1:13" s="223" customFormat="1">
      <c r="A409" s="367"/>
      <c r="B409" s="330"/>
      <c r="C409" s="265"/>
      <c r="D409" s="265"/>
      <c r="M409" s="485"/>
    </row>
    <row r="410" spans="1:13" s="223" customFormat="1">
      <c r="A410" s="367"/>
      <c r="B410" s="330"/>
      <c r="C410" s="265"/>
      <c r="D410" s="265"/>
      <c r="M410" s="485"/>
    </row>
    <row r="411" spans="1:13" s="223" customFormat="1">
      <c r="A411" s="367"/>
      <c r="B411" s="330"/>
      <c r="C411" s="265"/>
      <c r="D411" s="265"/>
      <c r="M411" s="485"/>
    </row>
    <row r="412" spans="1:13" s="223" customFormat="1">
      <c r="A412" s="367"/>
      <c r="B412" s="330"/>
      <c r="C412" s="265"/>
      <c r="D412" s="265"/>
      <c r="M412" s="485"/>
    </row>
    <row r="413" spans="1:13" s="223" customFormat="1" ht="17.25">
      <c r="A413" s="367"/>
      <c r="B413" s="330"/>
      <c r="C413" s="265"/>
      <c r="D413" s="265"/>
      <c r="I413" s="341"/>
      <c r="M413" s="485"/>
    </row>
    <row r="414" spans="1:13" s="223" customFormat="1">
      <c r="A414" s="367"/>
      <c r="B414" s="330"/>
      <c r="C414" s="265"/>
      <c r="D414" s="265"/>
      <c r="G414" s="233"/>
      <c r="H414" s="233"/>
      <c r="I414" s="369"/>
      <c r="J414" s="369"/>
      <c r="M414" s="485"/>
    </row>
    <row r="415" spans="1:13" s="223" customFormat="1">
      <c r="A415" s="367"/>
      <c r="B415" s="330"/>
      <c r="C415" s="265"/>
      <c r="D415" s="265"/>
      <c r="M415" s="485"/>
    </row>
    <row r="416" spans="1:13" s="223" customFormat="1">
      <c r="A416" s="367"/>
      <c r="B416" s="330"/>
      <c r="C416" s="265"/>
      <c r="D416" s="265"/>
      <c r="M416" s="485"/>
    </row>
    <row r="417" spans="1:13" s="223" customFormat="1">
      <c r="A417" s="367"/>
      <c r="B417" s="330"/>
      <c r="C417" s="265"/>
      <c r="D417" s="265"/>
      <c r="M417" s="485"/>
    </row>
    <row r="418" spans="1:13" s="223" customFormat="1">
      <c r="A418" s="367"/>
      <c r="B418" s="330"/>
      <c r="C418" s="265"/>
      <c r="D418" s="265"/>
      <c r="M418" s="485"/>
    </row>
    <row r="419" spans="1:13" s="223" customFormat="1">
      <c r="A419" s="367"/>
      <c r="B419" s="330"/>
      <c r="C419" s="265"/>
      <c r="D419" s="265"/>
      <c r="M419" s="485"/>
    </row>
    <row r="420" spans="1:13" s="223" customFormat="1" ht="17.25">
      <c r="A420" s="367"/>
      <c r="B420" s="330"/>
      <c r="C420" s="265"/>
      <c r="D420" s="265"/>
      <c r="I420" s="341"/>
      <c r="M420" s="485"/>
    </row>
    <row r="421" spans="1:13" s="223" customFormat="1">
      <c r="A421" s="367"/>
      <c r="B421" s="330"/>
      <c r="C421" s="265"/>
      <c r="D421" s="265"/>
      <c r="G421" s="233"/>
      <c r="H421" s="233"/>
      <c r="I421" s="369"/>
      <c r="J421" s="369"/>
      <c r="M421" s="485"/>
    </row>
    <row r="422" spans="1:13" s="223" customFormat="1">
      <c r="A422" s="367"/>
      <c r="B422" s="330"/>
      <c r="C422" s="265"/>
      <c r="D422" s="265"/>
      <c r="M422" s="485"/>
    </row>
    <row r="423" spans="1:13" s="223" customFormat="1">
      <c r="A423" s="226"/>
      <c r="B423" s="265"/>
      <c r="C423" s="265"/>
      <c r="D423" s="265"/>
      <c r="M423" s="485"/>
    </row>
    <row r="424" spans="1:13" s="223" customFormat="1">
      <c r="A424" s="226"/>
      <c r="I424" s="368"/>
      <c r="J424" s="368"/>
      <c r="M424" s="485"/>
    </row>
    <row r="425" spans="1:13" s="223" customFormat="1">
      <c r="A425" s="226"/>
      <c r="M425" s="485"/>
    </row>
    <row r="426" spans="1:13" s="223" customFormat="1">
      <c r="A426" s="226"/>
      <c r="M426" s="485"/>
    </row>
    <row r="427" spans="1:13" s="223" customFormat="1">
      <c r="A427" s="378"/>
      <c r="B427" s="366"/>
      <c r="C427" s="265"/>
      <c r="D427" s="265"/>
      <c r="E427" s="265"/>
      <c r="F427" s="265"/>
      <c r="M427" s="485"/>
    </row>
    <row r="428" spans="1:13" s="223" customFormat="1">
      <c r="A428" s="226"/>
      <c r="B428" s="330"/>
      <c r="C428" s="265"/>
      <c r="D428" s="265"/>
      <c r="E428" s="265"/>
      <c r="F428" s="265"/>
      <c r="M428" s="485"/>
    </row>
    <row r="429" spans="1:13" s="223" customFormat="1">
      <c r="A429" s="226"/>
      <c r="B429" s="343"/>
      <c r="C429" s="265"/>
      <c r="D429" s="265"/>
      <c r="E429" s="265"/>
      <c r="F429" s="265"/>
      <c r="M429" s="485"/>
    </row>
    <row r="430" spans="1:13" s="223" customFormat="1">
      <c r="A430" s="226"/>
      <c r="B430" s="330"/>
      <c r="C430" s="265"/>
      <c r="D430" s="265"/>
      <c r="E430" s="379"/>
      <c r="F430" s="380"/>
      <c r="G430" s="340"/>
      <c r="H430" s="340"/>
      <c r="J430" s="265"/>
      <c r="M430" s="485"/>
    </row>
    <row r="431" spans="1:13" s="223" customFormat="1">
      <c r="A431" s="226"/>
      <c r="B431" s="330"/>
      <c r="C431" s="265"/>
      <c r="D431" s="265"/>
      <c r="E431" s="379"/>
      <c r="F431" s="380"/>
      <c r="G431" s="340"/>
      <c r="H431" s="340"/>
      <c r="J431" s="265"/>
      <c r="M431" s="485"/>
    </row>
    <row r="432" spans="1:13" s="223" customFormat="1">
      <c r="A432" s="226"/>
      <c r="B432" s="330"/>
      <c r="C432" s="265"/>
      <c r="D432" s="265"/>
      <c r="E432" s="379"/>
      <c r="F432" s="380"/>
      <c r="G432" s="340"/>
      <c r="H432" s="340"/>
      <c r="I432" s="342"/>
      <c r="J432" s="265"/>
      <c r="M432" s="485"/>
    </row>
    <row r="433" spans="1:13" s="223" customFormat="1">
      <c r="A433" s="226"/>
      <c r="B433" s="330"/>
      <c r="C433" s="265"/>
      <c r="D433" s="265"/>
      <c r="E433" s="379"/>
      <c r="F433" s="380"/>
      <c r="G433" s="340"/>
      <c r="H433" s="340"/>
      <c r="J433" s="265"/>
      <c r="M433" s="485"/>
    </row>
    <row r="434" spans="1:13" s="223" customFormat="1">
      <c r="A434" s="226"/>
      <c r="B434" s="343"/>
      <c r="C434" s="265"/>
      <c r="D434" s="265"/>
      <c r="E434" s="265"/>
      <c r="J434" s="265"/>
      <c r="M434" s="485"/>
    </row>
    <row r="435" spans="1:13" s="223" customFormat="1" ht="17.25">
      <c r="A435" s="226"/>
      <c r="B435" s="330"/>
      <c r="C435" s="265"/>
      <c r="D435" s="265"/>
      <c r="E435" s="265"/>
      <c r="G435" s="340"/>
      <c r="H435" s="340"/>
      <c r="J435" s="264"/>
      <c r="M435" s="485"/>
    </row>
    <row r="436" spans="1:13" s="223" customFormat="1" ht="17.25">
      <c r="A436" s="226"/>
      <c r="B436" s="330"/>
      <c r="C436" s="265"/>
      <c r="D436" s="265"/>
      <c r="E436" s="265"/>
      <c r="G436" s="340"/>
      <c r="H436" s="340"/>
      <c r="J436" s="264"/>
      <c r="M436" s="485"/>
    </row>
    <row r="437" spans="1:13" s="223" customFormat="1">
      <c r="A437" s="226"/>
      <c r="B437" s="330"/>
      <c r="C437" s="265"/>
      <c r="D437" s="265"/>
      <c r="E437" s="265"/>
      <c r="G437" s="340"/>
      <c r="H437" s="340"/>
      <c r="J437" s="265"/>
      <c r="M437" s="485"/>
    </row>
    <row r="438" spans="1:13" s="223" customFormat="1" ht="17.25">
      <c r="A438" s="226"/>
      <c r="B438" s="330"/>
      <c r="C438" s="265"/>
      <c r="D438" s="265"/>
      <c r="E438" s="265"/>
      <c r="F438" s="265"/>
      <c r="G438" s="382"/>
      <c r="H438" s="382"/>
      <c r="M438" s="485"/>
    </row>
    <row r="439" spans="1:13" s="223" customFormat="1">
      <c r="A439" s="226"/>
      <c r="B439" s="330"/>
      <c r="C439" s="265"/>
      <c r="D439" s="265"/>
      <c r="E439" s="265"/>
      <c r="F439" s="265"/>
      <c r="G439" s="342"/>
      <c r="H439" s="342"/>
      <c r="I439" s="342"/>
      <c r="M439" s="485"/>
    </row>
    <row r="440" spans="1:13" s="223" customFormat="1">
      <c r="A440" s="226"/>
      <c r="B440" s="330"/>
      <c r="C440" s="265"/>
      <c r="D440" s="265"/>
      <c r="E440" s="265"/>
      <c r="F440" s="265"/>
      <c r="M440" s="485"/>
    </row>
    <row r="441" spans="1:13" s="223" customFormat="1">
      <c r="A441" s="226"/>
      <c r="B441" s="330"/>
      <c r="C441" s="265"/>
      <c r="D441" s="265"/>
      <c r="E441" s="265"/>
      <c r="F441" s="265"/>
      <c r="M441" s="485"/>
    </row>
    <row r="442" spans="1:13" s="223" customFormat="1">
      <c r="A442" s="226"/>
      <c r="B442" s="343"/>
      <c r="C442" s="265"/>
      <c r="D442" s="265"/>
      <c r="E442" s="265"/>
      <c r="F442" s="265"/>
      <c r="M442" s="485"/>
    </row>
    <row r="443" spans="1:13" s="223" customFormat="1">
      <c r="A443" s="226"/>
      <c r="B443" s="330"/>
      <c r="C443" s="265"/>
      <c r="D443" s="265"/>
      <c r="E443" s="265"/>
      <c r="F443" s="265"/>
      <c r="M443" s="485"/>
    </row>
    <row r="444" spans="1:13" s="223" customFormat="1">
      <c r="A444" s="226"/>
      <c r="B444" s="330"/>
      <c r="C444" s="265"/>
      <c r="D444" s="265"/>
      <c r="E444" s="265"/>
      <c r="F444" s="265"/>
      <c r="M444" s="485"/>
    </row>
    <row r="445" spans="1:13" s="223" customFormat="1">
      <c r="A445" s="367"/>
      <c r="B445" s="330"/>
      <c r="K445" s="225"/>
      <c r="M445" s="485"/>
    </row>
    <row r="446" spans="1:13" s="223" customFormat="1">
      <c r="A446" s="367"/>
      <c r="B446" s="330"/>
      <c r="M446" s="485"/>
    </row>
    <row r="447" spans="1:13" s="223" customFormat="1">
      <c r="A447" s="367"/>
      <c r="B447" s="330"/>
      <c r="M447" s="485"/>
    </row>
    <row r="448" spans="1:13" s="223" customFormat="1">
      <c r="A448" s="367"/>
      <c r="B448" s="330"/>
      <c r="I448" s="340"/>
      <c r="J448" s="340"/>
      <c r="K448" s="340"/>
      <c r="M448" s="485"/>
    </row>
    <row r="449" spans="1:13" s="223" customFormat="1">
      <c r="A449" s="367"/>
      <c r="B449" s="330"/>
      <c r="I449" s="392"/>
      <c r="J449" s="392"/>
      <c r="K449" s="340"/>
      <c r="M449" s="485"/>
    </row>
    <row r="450" spans="1:13" s="223" customFormat="1" ht="17.25">
      <c r="A450" s="367"/>
      <c r="B450" s="330"/>
      <c r="J450" s="368"/>
      <c r="K450" s="382"/>
      <c r="M450" s="485"/>
    </row>
    <row r="451" spans="1:13" s="223" customFormat="1">
      <c r="A451" s="367"/>
      <c r="K451" s="225"/>
      <c r="M451" s="485"/>
    </row>
    <row r="452" spans="1:13" s="223" customFormat="1">
      <c r="A452" s="367"/>
      <c r="B452" s="330"/>
      <c r="K452" s="368"/>
      <c r="M452" s="485"/>
    </row>
    <row r="453" spans="1:13" s="223" customFormat="1">
      <c r="A453" s="367"/>
      <c r="B453" s="330"/>
      <c r="K453" s="368"/>
      <c r="M453" s="485"/>
    </row>
    <row r="454" spans="1:13" s="223" customFormat="1">
      <c r="A454" s="367"/>
      <c r="B454" s="330"/>
      <c r="K454" s="368"/>
      <c r="M454" s="485"/>
    </row>
    <row r="455" spans="1:13" s="223" customFormat="1">
      <c r="A455" s="367"/>
      <c r="B455" s="330"/>
      <c r="K455" s="368"/>
      <c r="M455" s="485"/>
    </row>
    <row r="456" spans="1:13" s="223" customFormat="1">
      <c r="A456" s="367"/>
      <c r="B456" s="330"/>
      <c r="K456" s="368"/>
      <c r="M456" s="485"/>
    </row>
    <row r="457" spans="1:13" s="223" customFormat="1">
      <c r="A457" s="367"/>
      <c r="B457" s="330"/>
      <c r="M457" s="485"/>
    </row>
    <row r="458" spans="1:13" s="223" customFormat="1">
      <c r="A458" s="367"/>
      <c r="B458" s="330"/>
      <c r="M458" s="485"/>
    </row>
    <row r="459" spans="1:13" s="223" customFormat="1">
      <c r="A459" s="367"/>
      <c r="B459" s="343"/>
      <c r="M459" s="485"/>
    </row>
    <row r="460" spans="1:13">
      <c r="A460" s="367"/>
      <c r="B460" s="330"/>
    </row>
    <row r="461" spans="1:13" ht="17.25">
      <c r="A461" s="367"/>
      <c r="B461" s="330"/>
      <c r="J461" s="341"/>
    </row>
    <row r="462" spans="1:13">
      <c r="A462" s="367"/>
      <c r="B462" s="330"/>
      <c r="J462" s="368"/>
    </row>
    <row r="463" spans="1:13">
      <c r="A463" s="367"/>
      <c r="B463" s="330"/>
    </row>
    <row r="464" spans="1:13">
      <c r="A464" s="367"/>
      <c r="B464" s="330"/>
    </row>
    <row r="465" spans="1:13">
      <c r="A465" s="367"/>
      <c r="B465" s="330"/>
      <c r="J465" s="225"/>
      <c r="K465" s="225"/>
      <c r="L465" s="225"/>
      <c r="M465" s="557"/>
    </row>
    <row r="466" spans="1:13">
      <c r="A466" s="367"/>
      <c r="B466" s="343"/>
    </row>
    <row r="467" spans="1:13">
      <c r="A467" s="367"/>
      <c r="B467" s="330"/>
    </row>
    <row r="468" spans="1:13">
      <c r="B468" s="330"/>
    </row>
    <row r="469" spans="1:13">
      <c r="B469" s="330"/>
    </row>
    <row r="470" spans="1:13">
      <c r="B470" s="330"/>
      <c r="J470" s="225"/>
      <c r="K470" s="225"/>
      <c r="L470" s="225"/>
      <c r="M470" s="557"/>
    </row>
    <row r="474" spans="1:13" ht="17.25">
      <c r="K474" s="341"/>
    </row>
    <row r="476" spans="1:13">
      <c r="J476" s="225"/>
      <c r="K476" s="225"/>
    </row>
  </sheetData>
  <mergeCells count="8">
    <mergeCell ref="C365:F365"/>
    <mergeCell ref="C380:F380"/>
    <mergeCell ref="C100:F100"/>
    <mergeCell ref="C116:F116"/>
    <mergeCell ref="J198:M198"/>
    <mergeCell ref="J214:M214"/>
    <mergeCell ref="C231:F231"/>
    <mergeCell ref="C247:F247"/>
  </mergeCells>
  <pageMargins left="0.69930555555555596" right="0.69930555555555596" top="0.75" bottom="0.75" header="0.3" footer="0.3"/>
  <pageSetup paperSize="9" orientation="portrait" verticalDpi="300" r:id="rId1"/>
  <headerFooter alignWithMargins="0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9EFD1D-ECFF-48B8-A81B-6778927033E5}">
  <dimension ref="A1:M356"/>
  <sheetViews>
    <sheetView workbookViewId="0"/>
  </sheetViews>
  <sheetFormatPr defaultColWidth="9" defaultRowHeight="15"/>
  <cols>
    <col min="1" max="1" width="6.7109375" style="226" customWidth="1"/>
    <col min="2" max="2" width="10.5703125" style="223" customWidth="1"/>
    <col min="3" max="3" width="27.7109375" style="223" customWidth="1"/>
    <col min="4" max="5" width="9" style="223"/>
    <col min="6" max="6" width="10" style="223" bestFit="1" customWidth="1"/>
    <col min="7" max="7" width="10" style="223" customWidth="1"/>
    <col min="8" max="9" width="11.85546875" style="223" customWidth="1"/>
    <col min="10" max="10" width="11.5703125" style="223" bestFit="1" customWidth="1"/>
    <col min="11" max="12" width="9" style="223"/>
    <col min="13" max="13" width="5.7109375" style="485" customWidth="1"/>
    <col min="14" max="16384" width="9" style="226"/>
  </cols>
  <sheetData>
    <row r="1" spans="1:13">
      <c r="A1" s="222" t="s">
        <v>188</v>
      </c>
    </row>
    <row r="2" spans="1:13">
      <c r="A2" s="222" t="s">
        <v>639</v>
      </c>
    </row>
    <row r="3" spans="1:13">
      <c r="A3" s="222"/>
    </row>
    <row r="4" spans="1:13">
      <c r="A4" s="224" t="s">
        <v>11</v>
      </c>
      <c r="B4" s="225" t="s">
        <v>190</v>
      </c>
    </row>
    <row r="5" spans="1:13">
      <c r="B5" s="223">
        <v>2</v>
      </c>
      <c r="C5" s="225">
        <v>12</v>
      </c>
      <c r="D5" s="223">
        <f>C5*B5</f>
        <v>24</v>
      </c>
    </row>
    <row r="6" spans="1:13">
      <c r="B6" s="223">
        <v>2</v>
      </c>
      <c r="C6" s="225">
        <v>20</v>
      </c>
      <c r="D6" s="223">
        <f>C6*B6</f>
        <v>40</v>
      </c>
    </row>
    <row r="7" spans="1:13">
      <c r="C7" s="225"/>
      <c r="E7" s="227">
        <f>SUM(D5:D6)</f>
        <v>64</v>
      </c>
    </row>
    <row r="8" spans="1:13" ht="17.25">
      <c r="A8" s="224" t="s">
        <v>12</v>
      </c>
      <c r="B8" s="228" t="s">
        <v>191</v>
      </c>
      <c r="C8" s="229"/>
    </row>
    <row r="10" spans="1:13">
      <c r="A10" s="226">
        <v>1</v>
      </c>
      <c r="B10" s="223" t="s">
        <v>192</v>
      </c>
    </row>
    <row r="11" spans="1:13">
      <c r="D11" s="230" t="s">
        <v>193</v>
      </c>
      <c r="E11" s="230" t="s">
        <v>194</v>
      </c>
      <c r="F11" s="230" t="s">
        <v>195</v>
      </c>
      <c r="G11" s="230"/>
      <c r="H11" s="230"/>
    </row>
    <row r="12" spans="1:13">
      <c r="B12" s="231" t="s">
        <v>165</v>
      </c>
      <c r="C12" s="232" t="s">
        <v>201</v>
      </c>
      <c r="D12" s="233">
        <v>3</v>
      </c>
      <c r="I12" s="223">
        <f t="shared" ref="I12:I17" si="0">F12*E12*D12</f>
        <v>0</v>
      </c>
    </row>
    <row r="13" spans="1:13">
      <c r="B13" s="231" t="s">
        <v>199</v>
      </c>
      <c r="C13" s="232" t="s">
        <v>198</v>
      </c>
      <c r="D13" s="233">
        <v>2</v>
      </c>
      <c r="I13" s="223">
        <f t="shared" si="0"/>
        <v>0</v>
      </c>
    </row>
    <row r="14" spans="1:13">
      <c r="B14" s="231" t="s">
        <v>202</v>
      </c>
      <c r="C14" s="232" t="s">
        <v>198</v>
      </c>
      <c r="D14" s="233">
        <v>2</v>
      </c>
      <c r="I14" s="223">
        <f t="shared" si="0"/>
        <v>0</v>
      </c>
    </row>
    <row r="15" spans="1:13" s="223" customFormat="1">
      <c r="A15" s="226"/>
      <c r="B15" s="231" t="s">
        <v>416</v>
      </c>
      <c r="C15" s="232" t="s">
        <v>201</v>
      </c>
      <c r="D15" s="223">
        <v>3</v>
      </c>
      <c r="I15" s="223">
        <f t="shared" si="0"/>
        <v>0</v>
      </c>
      <c r="M15" s="485"/>
    </row>
    <row r="16" spans="1:13" s="223" customFormat="1">
      <c r="A16" s="226"/>
      <c r="B16" s="254" t="s">
        <v>417</v>
      </c>
      <c r="C16" s="232" t="s">
        <v>201</v>
      </c>
      <c r="D16" s="233">
        <v>3</v>
      </c>
      <c r="I16" s="223">
        <f t="shared" si="0"/>
        <v>0</v>
      </c>
      <c r="M16" s="485"/>
    </row>
    <row r="17" spans="1:13" s="223" customFormat="1">
      <c r="A17" s="226"/>
      <c r="B17" s="254" t="s">
        <v>63</v>
      </c>
      <c r="C17" s="232" t="s">
        <v>201</v>
      </c>
      <c r="D17" s="223">
        <v>3</v>
      </c>
      <c r="I17" s="223">
        <f t="shared" si="0"/>
        <v>0</v>
      </c>
      <c r="M17" s="485"/>
    </row>
    <row r="18" spans="1:13" s="223" customFormat="1">
      <c r="A18" s="226"/>
      <c r="B18" s="254"/>
      <c r="C18" s="232"/>
      <c r="M18" s="485"/>
    </row>
    <row r="19" spans="1:13" s="223" customFormat="1">
      <c r="A19" s="226"/>
      <c r="B19" s="254">
        <v>1</v>
      </c>
      <c r="C19" s="232" t="s">
        <v>421</v>
      </c>
      <c r="D19" s="223">
        <v>13</v>
      </c>
      <c r="M19" s="485"/>
    </row>
    <row r="20" spans="1:13" s="223" customFormat="1">
      <c r="A20" s="226"/>
      <c r="B20" s="254">
        <v>2</v>
      </c>
      <c r="C20" s="232" t="s">
        <v>638</v>
      </c>
      <c r="D20" s="223">
        <v>4</v>
      </c>
      <c r="M20" s="485"/>
    </row>
    <row r="21" spans="1:13" s="223" customFormat="1">
      <c r="A21" s="226"/>
      <c r="B21" s="245">
        <v>3</v>
      </c>
      <c r="C21" s="232" t="s">
        <v>421</v>
      </c>
      <c r="D21" s="223">
        <v>13</v>
      </c>
      <c r="I21" s="223">
        <f>F21*E21*D21</f>
        <v>0</v>
      </c>
      <c r="M21" s="485"/>
    </row>
    <row r="22" spans="1:13" s="223" customFormat="1">
      <c r="A22" s="226"/>
      <c r="B22" s="254"/>
      <c r="C22" s="232"/>
      <c r="I22" s="223">
        <f>F22*E22*D22</f>
        <v>0</v>
      </c>
      <c r="M22" s="485"/>
    </row>
    <row r="23" spans="1:13" s="223" customFormat="1">
      <c r="A23" s="226"/>
      <c r="B23" s="254"/>
      <c r="C23" s="232"/>
      <c r="E23" s="223" t="s">
        <v>429</v>
      </c>
      <c r="F23" s="223" t="s">
        <v>195</v>
      </c>
      <c r="G23" s="223" t="s">
        <v>268</v>
      </c>
      <c r="M23" s="485"/>
    </row>
    <row r="24" spans="1:13" s="223" customFormat="1" ht="15.75">
      <c r="A24" s="226"/>
      <c r="B24" s="245"/>
      <c r="C24" s="232" t="s">
        <v>207</v>
      </c>
      <c r="D24" s="223" t="s">
        <v>430</v>
      </c>
      <c r="E24" s="235">
        <f>SUM(D12:D22)</f>
        <v>46</v>
      </c>
      <c r="F24" s="223">
        <v>0.5</v>
      </c>
      <c r="G24" s="223">
        <v>0.7</v>
      </c>
      <c r="M24" s="485"/>
    </row>
    <row r="25" spans="1:13" s="223" customFormat="1" ht="15.75">
      <c r="A25" s="226"/>
      <c r="B25" s="245"/>
      <c r="C25" s="232" t="s">
        <v>431</v>
      </c>
      <c r="E25" s="235"/>
      <c r="H25" s="235">
        <f>G24*F24*E24</f>
        <v>16.099999999999998</v>
      </c>
      <c r="I25" s="223" t="s">
        <v>15</v>
      </c>
      <c r="M25" s="485"/>
    </row>
    <row r="26" spans="1:13" s="223" customFormat="1" ht="15.75">
      <c r="A26" s="226"/>
      <c r="B26" s="245"/>
      <c r="C26" s="232" t="s">
        <v>432</v>
      </c>
      <c r="E26" s="235">
        <f>E24</f>
        <v>46</v>
      </c>
      <c r="F26" s="223">
        <v>1</v>
      </c>
      <c r="G26" s="223">
        <v>1</v>
      </c>
      <c r="H26" s="235">
        <f>G26*F26*E26</f>
        <v>46</v>
      </c>
      <c r="I26" s="223" t="s">
        <v>15</v>
      </c>
      <c r="M26" s="485"/>
    </row>
    <row r="27" spans="1:13" s="223" customFormat="1" ht="15.75">
      <c r="A27" s="226"/>
      <c r="B27" s="245"/>
      <c r="C27" s="232" t="s">
        <v>433</v>
      </c>
      <c r="E27" s="235">
        <f>E26</f>
        <v>46</v>
      </c>
      <c r="F27" s="223">
        <v>1</v>
      </c>
      <c r="G27" s="223">
        <v>0.05</v>
      </c>
      <c r="H27" s="235">
        <f>G27*F27*E27</f>
        <v>2.3000000000000003</v>
      </c>
      <c r="I27" s="223" t="s">
        <v>15</v>
      </c>
      <c r="M27" s="485"/>
    </row>
    <row r="28" spans="1:13" s="223" customFormat="1" ht="15.75">
      <c r="A28" s="226"/>
      <c r="B28" s="245"/>
      <c r="C28" s="232" t="s">
        <v>637</v>
      </c>
      <c r="D28" s="223">
        <v>1.2</v>
      </c>
      <c r="E28" s="235">
        <v>1.2</v>
      </c>
      <c r="F28" s="223">
        <v>1</v>
      </c>
      <c r="G28" s="223">
        <f>G29</f>
        <v>27</v>
      </c>
      <c r="H28" s="235">
        <f>G28*F28*E28*D28</f>
        <v>38.879999999999995</v>
      </c>
      <c r="I28" s="223" t="s">
        <v>15</v>
      </c>
      <c r="M28" s="485"/>
    </row>
    <row r="29" spans="1:13" s="223" customFormat="1" ht="15.75">
      <c r="A29" s="226"/>
      <c r="B29" s="245"/>
      <c r="C29" s="232" t="s">
        <v>212</v>
      </c>
      <c r="D29" s="223">
        <v>1.2</v>
      </c>
      <c r="E29" s="235">
        <v>1.2</v>
      </c>
      <c r="F29" s="223">
        <v>0.3</v>
      </c>
      <c r="G29" s="223">
        <f>16+11</f>
        <v>27</v>
      </c>
      <c r="H29" s="235">
        <f>G29*F29*E29*D29</f>
        <v>11.663999999999998</v>
      </c>
      <c r="I29" s="223" t="s">
        <v>15</v>
      </c>
      <c r="M29" s="485"/>
    </row>
    <row r="30" spans="1:13" s="223" customFormat="1" ht="15.75">
      <c r="A30" s="226"/>
      <c r="B30" s="245"/>
      <c r="C30" s="232"/>
      <c r="E30" s="235"/>
      <c r="H30" s="235"/>
      <c r="M30" s="485"/>
    </row>
    <row r="31" spans="1:13" s="223" customFormat="1" ht="18">
      <c r="A31" s="226"/>
      <c r="B31" s="245"/>
      <c r="C31" s="257" t="s">
        <v>214</v>
      </c>
      <c r="D31" s="258">
        <f>1.2*1.2*0.3</f>
        <v>0.432</v>
      </c>
      <c r="E31" s="259" t="s">
        <v>215</v>
      </c>
      <c r="F31" s="260"/>
      <c r="G31" s="261"/>
      <c r="H31" s="235"/>
      <c r="M31" s="485"/>
    </row>
    <row r="32" spans="1:13" s="223" customFormat="1" ht="15.75">
      <c r="A32" s="226"/>
      <c r="B32" s="245"/>
      <c r="C32" s="266" t="s">
        <v>219</v>
      </c>
      <c r="D32" s="267">
        <f>D31*6</f>
        <v>2.5920000000000001</v>
      </c>
      <c r="E32" s="268" t="s">
        <v>220</v>
      </c>
      <c r="F32" s="269">
        <v>55000</v>
      </c>
      <c r="G32" s="269">
        <f>D32*F32</f>
        <v>142560</v>
      </c>
      <c r="H32" s="235"/>
      <c r="M32" s="485"/>
    </row>
    <row r="33" spans="1:13" s="223" customFormat="1" ht="18">
      <c r="A33" s="226"/>
      <c r="B33" s="245"/>
      <c r="C33" s="266" t="s">
        <v>222</v>
      </c>
      <c r="D33" s="267">
        <f>D31*0.52</f>
        <v>0.22464000000000001</v>
      </c>
      <c r="E33" s="268" t="s">
        <v>215</v>
      </c>
      <c r="F33" s="269">
        <v>380000</v>
      </c>
      <c r="G33" s="269">
        <f>D33*F33</f>
        <v>85363.199999999997</v>
      </c>
      <c r="H33" s="235"/>
      <c r="M33" s="485"/>
    </row>
    <row r="34" spans="1:13" s="223" customFormat="1" ht="18">
      <c r="A34" s="226"/>
      <c r="B34" s="245"/>
      <c r="C34" s="266" t="s">
        <v>224</v>
      </c>
      <c r="D34" s="267">
        <f>D31*0.82</f>
        <v>0.35424</v>
      </c>
      <c r="E34" s="268" t="s">
        <v>215</v>
      </c>
      <c r="F34" s="269">
        <v>280000</v>
      </c>
      <c r="G34" s="269">
        <f>D34*F34</f>
        <v>99187.199999999997</v>
      </c>
      <c r="H34" s="235"/>
      <c r="M34" s="485"/>
    </row>
    <row r="35" spans="1:13" s="223" customFormat="1" ht="15.75">
      <c r="A35" s="226"/>
      <c r="B35" s="245"/>
      <c r="C35" s="266" t="s">
        <v>226</v>
      </c>
      <c r="D35" s="267">
        <v>3</v>
      </c>
      <c r="E35" s="268" t="s">
        <v>20</v>
      </c>
      <c r="F35" s="276">
        <v>100000</v>
      </c>
      <c r="G35" s="269">
        <f>F35*D35</f>
        <v>300000</v>
      </c>
      <c r="H35" s="235"/>
      <c r="M35" s="485"/>
    </row>
    <row r="36" spans="1:13" s="223" customFormat="1" ht="15.75">
      <c r="A36" s="226"/>
      <c r="B36" s="245"/>
      <c r="C36" s="266" t="s">
        <v>227</v>
      </c>
      <c r="D36" s="267">
        <f>D37/50</f>
        <v>0.75</v>
      </c>
      <c r="E36" s="268" t="s">
        <v>17</v>
      </c>
      <c r="F36" s="269">
        <v>20000</v>
      </c>
      <c r="G36" s="269">
        <f>F36*D36</f>
        <v>15000</v>
      </c>
      <c r="H36" s="235"/>
      <c r="M36" s="485"/>
    </row>
    <row r="37" spans="1:13" s="223" customFormat="1" ht="15.75">
      <c r="A37" s="226"/>
      <c r="B37" s="245"/>
      <c r="C37" s="266" t="s">
        <v>228</v>
      </c>
      <c r="D37" s="267">
        <f>D35*12.5</f>
        <v>37.5</v>
      </c>
      <c r="E37" s="268" t="s">
        <v>17</v>
      </c>
      <c r="F37" s="269">
        <v>3000</v>
      </c>
      <c r="G37" s="269">
        <f>D37*F37</f>
        <v>112500</v>
      </c>
      <c r="H37" s="235"/>
      <c r="M37" s="485"/>
    </row>
    <row r="38" spans="1:13" s="223" customFormat="1" ht="18">
      <c r="A38" s="226"/>
      <c r="B38" s="245"/>
      <c r="C38" s="279" t="s">
        <v>229</v>
      </c>
      <c r="D38" s="280">
        <f>D31</f>
        <v>0.432</v>
      </c>
      <c r="E38" s="281" t="s">
        <v>215</v>
      </c>
      <c r="F38" s="282">
        <v>300000</v>
      </c>
      <c r="G38" s="282">
        <f>D38*F38</f>
        <v>129600</v>
      </c>
      <c r="H38" s="235"/>
      <c r="M38" s="485"/>
    </row>
    <row r="39" spans="1:13" s="223" customFormat="1" ht="15.75">
      <c r="A39" s="226"/>
      <c r="B39" s="245"/>
      <c r="C39" s="1147" t="s">
        <v>230</v>
      </c>
      <c r="D39" s="1147"/>
      <c r="E39" s="1147"/>
      <c r="F39" s="1147"/>
      <c r="G39" s="283">
        <f>SUM(G32:G38)</f>
        <v>884210.4</v>
      </c>
      <c r="H39" s="284">
        <f>G39/D31</f>
        <v>2046783.3333333335</v>
      </c>
      <c r="M39" s="485"/>
    </row>
    <row r="40" spans="1:13" s="223" customFormat="1" ht="15.75">
      <c r="A40" s="226"/>
      <c r="B40" s="245"/>
      <c r="E40" s="235"/>
      <c r="H40" s="235"/>
      <c r="M40" s="485"/>
    </row>
    <row r="41" spans="1:13" s="223" customFormat="1" ht="15.75">
      <c r="A41" s="226"/>
      <c r="B41" s="245"/>
      <c r="C41" s="232" t="s">
        <v>435</v>
      </c>
      <c r="E41" s="235">
        <f>E27</f>
        <v>46</v>
      </c>
      <c r="F41" s="223">
        <v>0.15</v>
      </c>
      <c r="G41" s="223">
        <v>0.25</v>
      </c>
      <c r="H41" s="235">
        <f>G41*F41*E41</f>
        <v>1.7249999999999999</v>
      </c>
      <c r="I41" s="223" t="s">
        <v>15</v>
      </c>
      <c r="M41" s="485"/>
    </row>
    <row r="42" spans="1:13" s="223" customFormat="1" ht="15.75">
      <c r="A42" s="226"/>
      <c r="B42" s="245"/>
      <c r="C42" s="232" t="s">
        <v>436</v>
      </c>
      <c r="D42" s="223">
        <v>17</v>
      </c>
      <c r="E42" s="235">
        <v>3</v>
      </c>
      <c r="F42" s="223">
        <v>0.15</v>
      </c>
      <c r="G42" s="223">
        <v>0.15</v>
      </c>
      <c r="H42" s="235">
        <f>G42*F42*E42*D42</f>
        <v>1.1475</v>
      </c>
      <c r="I42" s="223" t="s">
        <v>15</v>
      </c>
      <c r="M42" s="485"/>
    </row>
    <row r="43" spans="1:13" s="223" customFormat="1" ht="15.75">
      <c r="A43" s="226"/>
      <c r="B43" s="245"/>
      <c r="C43" s="232" t="s">
        <v>437</v>
      </c>
      <c r="E43" s="235">
        <f>E41</f>
        <v>46</v>
      </c>
      <c r="F43" s="223">
        <v>0.15</v>
      </c>
      <c r="G43" s="223">
        <v>0.15</v>
      </c>
      <c r="H43" s="235">
        <f>G43*F43*E43</f>
        <v>1.0349999999999999</v>
      </c>
      <c r="I43" s="223" t="s">
        <v>15</v>
      </c>
      <c r="M43" s="485"/>
    </row>
    <row r="44" spans="1:13" s="223" customFormat="1" ht="15.75">
      <c r="A44" s="226"/>
      <c r="B44" s="245"/>
      <c r="C44" s="232"/>
      <c r="E44" s="235"/>
      <c r="H44" s="235"/>
      <c r="M44" s="485"/>
    </row>
    <row r="45" spans="1:13" s="223" customFormat="1" ht="15.75">
      <c r="A45" s="226"/>
      <c r="B45" s="245"/>
      <c r="C45" s="223" t="s">
        <v>306</v>
      </c>
      <c r="D45" s="223">
        <v>2.73</v>
      </c>
      <c r="E45" s="235">
        <v>5.19</v>
      </c>
      <c r="F45" s="223">
        <v>4.0199999999999996</v>
      </c>
      <c r="G45" s="223">
        <v>6.88</v>
      </c>
      <c r="H45" s="235">
        <f>SUM(D45:G45)</f>
        <v>18.82</v>
      </c>
      <c r="I45" s="223" t="s">
        <v>254</v>
      </c>
      <c r="M45" s="485"/>
    </row>
    <row r="46" spans="1:13" s="223" customFormat="1" ht="15.75">
      <c r="A46" s="226"/>
      <c r="B46" s="245">
        <v>1</v>
      </c>
      <c r="C46" s="232" t="s">
        <v>636</v>
      </c>
      <c r="D46" s="223">
        <v>3.2</v>
      </c>
      <c r="E46" s="235">
        <f>H45</f>
        <v>18.82</v>
      </c>
      <c r="H46" s="235">
        <f>E46*D46</f>
        <v>60.224000000000004</v>
      </c>
      <c r="I46" s="223" t="s">
        <v>14</v>
      </c>
      <c r="M46" s="485"/>
    </row>
    <row r="47" spans="1:13" s="223" customFormat="1" ht="15.75">
      <c r="A47" s="226"/>
      <c r="B47" s="245"/>
      <c r="C47" s="232" t="s">
        <v>306</v>
      </c>
      <c r="D47" s="223">
        <v>1.29</v>
      </c>
      <c r="E47" s="235">
        <v>4.38</v>
      </c>
      <c r="H47" s="235">
        <f>E47+D47</f>
        <v>5.67</v>
      </c>
      <c r="I47" s="223" t="s">
        <v>254</v>
      </c>
      <c r="M47" s="485"/>
    </row>
    <row r="48" spans="1:13" s="223" customFormat="1" ht="15.75">
      <c r="A48" s="226"/>
      <c r="B48" s="245">
        <v>2</v>
      </c>
      <c r="C48" s="232" t="s">
        <v>636</v>
      </c>
      <c r="D48" s="223">
        <v>6.2</v>
      </c>
      <c r="E48" s="235">
        <f>H47</f>
        <v>5.67</v>
      </c>
      <c r="H48" s="235">
        <f>E48*D48</f>
        <v>35.154000000000003</v>
      </c>
      <c r="I48" s="223" t="s">
        <v>14</v>
      </c>
      <c r="M48" s="485"/>
    </row>
    <row r="49" spans="1:13" s="223" customFormat="1" ht="15.75">
      <c r="A49" s="226"/>
      <c r="B49" s="245"/>
      <c r="C49" s="232"/>
      <c r="E49" s="235"/>
      <c r="H49" s="235"/>
      <c r="M49" s="485"/>
    </row>
    <row r="50" spans="1:13" s="223" customFormat="1" ht="15.75">
      <c r="A50" s="226"/>
      <c r="B50" s="245">
        <v>1</v>
      </c>
      <c r="C50" s="232" t="s">
        <v>635</v>
      </c>
      <c r="D50" s="223">
        <v>2.7</v>
      </c>
      <c r="E50" s="235">
        <f>D45+E45</f>
        <v>7.92</v>
      </c>
      <c r="H50" s="235">
        <f>E50*D50</f>
        <v>21.384</v>
      </c>
      <c r="I50" s="223" t="s">
        <v>14</v>
      </c>
      <c r="M50" s="485"/>
    </row>
    <row r="51" spans="1:13" s="223" customFormat="1" ht="15.75">
      <c r="A51" s="226"/>
      <c r="B51" s="716">
        <v>2</v>
      </c>
      <c r="C51" s="232" t="s">
        <v>635</v>
      </c>
      <c r="D51" s="223">
        <v>4.7</v>
      </c>
      <c r="E51" s="235">
        <f>F45+G45</f>
        <v>10.899999999999999</v>
      </c>
      <c r="H51" s="235">
        <f>E51*D51</f>
        <v>51.23</v>
      </c>
      <c r="I51" s="223" t="s">
        <v>14</v>
      </c>
      <c r="M51" s="485"/>
    </row>
    <row r="52" spans="1:13" s="223" customFormat="1" ht="15.75">
      <c r="A52" s="226"/>
      <c r="B52" s="245"/>
      <c r="E52" s="235"/>
      <c r="G52" s="223">
        <f>F52*E52</f>
        <v>0</v>
      </c>
      <c r="H52" s="235"/>
      <c r="M52" s="485"/>
    </row>
    <row r="53" spans="1:13" s="223" customFormat="1" ht="15.75">
      <c r="A53" s="226"/>
      <c r="B53" s="245"/>
      <c r="C53" s="232"/>
      <c r="E53" s="235"/>
      <c r="G53" s="235"/>
      <c r="H53" s="235">
        <f>G52+G45</f>
        <v>6.88</v>
      </c>
      <c r="I53" s="223" t="s">
        <v>14</v>
      </c>
      <c r="M53" s="485"/>
    </row>
    <row r="54" spans="1:13" s="223" customFormat="1" ht="15.75">
      <c r="A54" s="226"/>
      <c r="B54" s="245"/>
      <c r="C54" s="232" t="s">
        <v>634</v>
      </c>
      <c r="E54" s="235">
        <f>E52+E45</f>
        <v>5.19</v>
      </c>
      <c r="F54" s="223">
        <v>7</v>
      </c>
      <c r="G54" s="227">
        <f>F54*E54</f>
        <v>36.330000000000005</v>
      </c>
      <c r="H54" s="235"/>
      <c r="M54" s="485"/>
    </row>
    <row r="55" spans="1:13" s="223" customFormat="1" ht="15.75">
      <c r="A55" s="226"/>
      <c r="B55" s="245"/>
      <c r="C55" s="232"/>
      <c r="E55" s="235"/>
      <c r="G55" s="235"/>
      <c r="H55" s="235"/>
      <c r="M55" s="485"/>
    </row>
    <row r="56" spans="1:13" s="223" customFormat="1" ht="15.75">
      <c r="A56" s="226"/>
      <c r="B56" s="245"/>
      <c r="C56" s="232" t="s">
        <v>628</v>
      </c>
      <c r="E56" s="235">
        <v>1</v>
      </c>
      <c r="F56" s="223">
        <v>5</v>
      </c>
      <c r="G56" s="312"/>
      <c r="H56" s="312">
        <f>F56*E56</f>
        <v>5</v>
      </c>
      <c r="I56" s="223" t="s">
        <v>566</v>
      </c>
      <c r="M56" s="485"/>
    </row>
    <row r="57" spans="1:13" s="223" customFormat="1" ht="15.75">
      <c r="A57" s="226"/>
      <c r="B57" s="245"/>
      <c r="C57" s="232" t="s">
        <v>633</v>
      </c>
      <c r="E57" s="235">
        <v>0.9</v>
      </c>
      <c r="F57" s="223">
        <v>2</v>
      </c>
      <c r="G57" s="312">
        <v>3</v>
      </c>
      <c r="H57" s="312">
        <f>G57*F57*E57</f>
        <v>5.4</v>
      </c>
      <c r="I57" s="223" t="s">
        <v>14</v>
      </c>
      <c r="M57" s="485"/>
    </row>
    <row r="58" spans="1:13" s="223" customFormat="1" ht="15.75">
      <c r="A58" s="226"/>
      <c r="B58" s="245"/>
      <c r="C58" s="232" t="s">
        <v>632</v>
      </c>
      <c r="E58" s="235">
        <v>0.7</v>
      </c>
      <c r="F58" s="223">
        <v>1.95</v>
      </c>
      <c r="G58" s="312">
        <v>2</v>
      </c>
      <c r="H58" s="312">
        <f>G58*F58*E58</f>
        <v>2.73</v>
      </c>
      <c r="I58" s="223" t="s">
        <v>14</v>
      </c>
      <c r="M58" s="485"/>
    </row>
    <row r="59" spans="1:13" s="223" customFormat="1" ht="15.75">
      <c r="A59" s="226"/>
      <c r="B59" s="245"/>
      <c r="E59" s="235">
        <v>3</v>
      </c>
      <c r="F59" s="223">
        <f>E24</f>
        <v>46</v>
      </c>
      <c r="G59" s="312"/>
      <c r="H59" s="312">
        <f>F59*E59</f>
        <v>138</v>
      </c>
      <c r="I59" s="223" t="s">
        <v>14</v>
      </c>
      <c r="M59" s="485"/>
    </row>
    <row r="60" spans="1:13" s="223" customFormat="1" ht="15.75">
      <c r="A60" s="226"/>
      <c r="B60" s="245"/>
      <c r="C60" s="232" t="s">
        <v>631</v>
      </c>
      <c r="E60" s="235"/>
      <c r="G60" s="312"/>
      <c r="H60" s="235"/>
      <c r="I60" s="235">
        <f>H59-H58-H57-H56</f>
        <v>124.87</v>
      </c>
      <c r="J60" s="223" t="s">
        <v>14</v>
      </c>
      <c r="M60" s="485"/>
    </row>
    <row r="61" spans="1:13" s="223" customFormat="1" ht="15.75">
      <c r="A61" s="226"/>
      <c r="B61" s="245"/>
      <c r="C61" s="232"/>
      <c r="E61" s="235"/>
      <c r="G61" s="235"/>
      <c r="H61" s="235"/>
      <c r="M61" s="485"/>
    </row>
    <row r="62" spans="1:13" s="223" customFormat="1" ht="15.75">
      <c r="A62" s="489"/>
      <c r="B62" s="245"/>
      <c r="C62" s="232"/>
      <c r="E62" s="235"/>
      <c r="G62" s="235"/>
      <c r="H62" s="235"/>
      <c r="M62" s="485"/>
    </row>
    <row r="63" spans="1:13" s="223" customFormat="1" ht="15.75">
      <c r="A63" s="226"/>
      <c r="B63" s="245"/>
      <c r="C63" s="232" t="s">
        <v>468</v>
      </c>
      <c r="E63" s="235">
        <v>2.5</v>
      </c>
      <c r="F63" s="223">
        <v>1.5</v>
      </c>
      <c r="G63" s="312"/>
      <c r="H63" s="235">
        <f>F63*E63</f>
        <v>3.75</v>
      </c>
      <c r="M63" s="485"/>
    </row>
    <row r="64" spans="1:13" s="223" customFormat="1" ht="15.75">
      <c r="A64" s="226"/>
      <c r="B64" s="245"/>
      <c r="C64" s="232"/>
      <c r="E64" s="235"/>
      <c r="G64" s="312"/>
      <c r="H64" s="235"/>
      <c r="M64" s="485"/>
    </row>
    <row r="65" spans="1:13" s="223" customFormat="1" ht="15.75">
      <c r="A65" s="226"/>
      <c r="B65" s="245"/>
      <c r="C65" s="232"/>
      <c r="E65" s="235"/>
      <c r="G65" s="312"/>
      <c r="H65" s="235"/>
      <c r="M65" s="485"/>
    </row>
    <row r="66" spans="1:13" s="223" customFormat="1" ht="15.75">
      <c r="A66" s="226"/>
      <c r="B66" s="245"/>
      <c r="C66" s="232" t="s">
        <v>630</v>
      </c>
      <c r="D66" s="223">
        <v>5.2</v>
      </c>
      <c r="E66" s="235">
        <v>4</v>
      </c>
      <c r="F66" s="223">
        <f>E66*D66</f>
        <v>20.8</v>
      </c>
      <c r="G66" s="235"/>
      <c r="H66" s="235"/>
      <c r="M66" s="485"/>
    </row>
    <row r="67" spans="1:13" s="223" customFormat="1" ht="18">
      <c r="A67" s="226"/>
      <c r="B67" s="245"/>
      <c r="C67" s="223" t="s">
        <v>629</v>
      </c>
      <c r="D67" s="233"/>
      <c r="G67" s="317"/>
      <c r="H67" s="235"/>
      <c r="I67" s="341"/>
      <c r="M67" s="485"/>
    </row>
    <row r="68" spans="1:13" s="223" customFormat="1" ht="17.25">
      <c r="A68" s="378">
        <v>1</v>
      </c>
      <c r="B68" s="518"/>
      <c r="C68" s="232" t="s">
        <v>628</v>
      </c>
      <c r="D68" s="519">
        <v>1</v>
      </c>
      <c r="E68" s="223">
        <v>12</v>
      </c>
      <c r="G68" s="317">
        <f>E68*D68</f>
        <v>12</v>
      </c>
      <c r="H68" s="223" t="s">
        <v>430</v>
      </c>
      <c r="I68" s="341"/>
      <c r="M68" s="485"/>
    </row>
    <row r="69" spans="1:13" s="223" customFormat="1" ht="17.25">
      <c r="A69" s="378"/>
      <c r="B69" s="518"/>
      <c r="C69" s="232" t="s">
        <v>627</v>
      </c>
      <c r="D69" s="519">
        <f>0.71*1.55+2.44</f>
        <v>3.5404999999999998</v>
      </c>
      <c r="E69" s="223">
        <f>5.76+4.5+1.75</f>
        <v>12.01</v>
      </c>
      <c r="F69" s="223">
        <f>3.03+4.36</f>
        <v>7.3900000000000006</v>
      </c>
      <c r="G69" s="317">
        <f>F69+E69+D69</f>
        <v>22.9405</v>
      </c>
      <c r="I69" s="341"/>
      <c r="M69" s="485"/>
    </row>
    <row r="70" spans="1:13" s="223" customFormat="1" ht="17.25">
      <c r="A70" s="378"/>
      <c r="B70" s="518"/>
      <c r="C70" s="232" t="s">
        <v>626</v>
      </c>
      <c r="D70" s="519">
        <f>1.39+1.77+1.7</f>
        <v>4.8600000000000003</v>
      </c>
      <c r="E70" s="223">
        <f>0.78+1.66+0.38</f>
        <v>2.82</v>
      </c>
      <c r="F70" s="223">
        <f>0.17+0.3</f>
        <v>0.47</v>
      </c>
      <c r="G70" s="317">
        <f>F70+E70+D70</f>
        <v>8.15</v>
      </c>
      <c r="I70" s="341"/>
      <c r="M70" s="485"/>
    </row>
    <row r="71" spans="1:13" s="223" customFormat="1" ht="17.25">
      <c r="A71" s="378"/>
      <c r="B71" s="518"/>
      <c r="C71" s="232" t="s">
        <v>625</v>
      </c>
      <c r="D71" s="519">
        <f>5.1*2</f>
        <v>10.199999999999999</v>
      </c>
      <c r="E71" s="223">
        <f>1*2</f>
        <v>2</v>
      </c>
      <c r="G71" s="317">
        <f>E71+D71</f>
        <v>12.2</v>
      </c>
      <c r="I71" s="341"/>
      <c r="M71" s="485"/>
    </row>
    <row r="72" spans="1:13" s="223" customFormat="1" ht="17.25">
      <c r="A72" s="378"/>
      <c r="B72" s="518"/>
      <c r="C72" s="232"/>
      <c r="D72" s="519"/>
      <c r="G72" s="317"/>
      <c r="I72" s="341"/>
      <c r="M72" s="485"/>
    </row>
    <row r="73" spans="1:13" s="223" customFormat="1" ht="17.25">
      <c r="A73" s="378"/>
      <c r="B73" s="518"/>
      <c r="C73" s="232"/>
      <c r="D73" s="519"/>
      <c r="G73" s="317"/>
      <c r="I73" s="341"/>
      <c r="M73" s="485"/>
    </row>
    <row r="74" spans="1:13" s="223" customFormat="1" ht="17.25">
      <c r="A74" s="378"/>
      <c r="B74" s="518"/>
      <c r="C74" s="232"/>
      <c r="D74" s="519"/>
      <c r="G74" s="317"/>
      <c r="I74" s="341"/>
      <c r="M74" s="485"/>
    </row>
    <row r="75" spans="1:13" s="223" customFormat="1" ht="15.75">
      <c r="A75" s="226"/>
      <c r="B75" s="308"/>
      <c r="C75" s="223" t="s">
        <v>624</v>
      </c>
      <c r="D75" s="520">
        <v>3.76</v>
      </c>
      <c r="E75" s="223">
        <v>4</v>
      </c>
      <c r="G75" s="317">
        <f>E75*D75</f>
        <v>15.04</v>
      </c>
      <c r="H75" s="223" t="s">
        <v>430</v>
      </c>
      <c r="I75" s="316"/>
      <c r="M75" s="485"/>
    </row>
    <row r="76" spans="1:13" s="223" customFormat="1" ht="15.75">
      <c r="A76" s="226"/>
      <c r="B76" s="308"/>
      <c r="D76" s="309"/>
      <c r="G76" s="316"/>
      <c r="H76" s="316"/>
      <c r="I76" s="316"/>
      <c r="M76" s="485"/>
    </row>
    <row r="77" spans="1:13" s="223" customFormat="1" ht="15.75">
      <c r="A77" s="226"/>
      <c r="B77" s="490"/>
      <c r="D77" s="520"/>
      <c r="F77" s="235"/>
      <c r="H77" s="316"/>
      <c r="I77" s="316"/>
      <c r="M77" s="485"/>
    </row>
    <row r="78" spans="1:13" s="223" customFormat="1" ht="15.75">
      <c r="A78" s="226"/>
      <c r="B78" s="490"/>
      <c r="D78" s="520">
        <f>E24</f>
        <v>46</v>
      </c>
      <c r="E78" s="223">
        <v>8</v>
      </c>
      <c r="F78" s="223">
        <f>E78*D78</f>
        <v>368</v>
      </c>
      <c r="H78" s="316"/>
      <c r="I78" s="316"/>
      <c r="M78" s="485"/>
    </row>
    <row r="79" spans="1:13" s="223" customFormat="1" ht="15.75">
      <c r="A79" s="226"/>
      <c r="B79" s="490"/>
      <c r="C79" s="223" t="s">
        <v>623</v>
      </c>
      <c r="D79" s="520">
        <f>0.9*2.1</f>
        <v>1.8900000000000001</v>
      </c>
      <c r="E79" s="223">
        <v>8</v>
      </c>
      <c r="F79" s="223">
        <f>E79*D79</f>
        <v>15.120000000000001</v>
      </c>
      <c r="H79" s="316"/>
      <c r="I79" s="316"/>
      <c r="M79" s="485"/>
    </row>
    <row r="80" spans="1:13" s="223" customFormat="1" ht="15.75">
      <c r="A80" s="226"/>
      <c r="B80" s="490"/>
      <c r="C80" s="223" t="s">
        <v>622</v>
      </c>
      <c r="D80" s="520">
        <f>0.7*2</f>
        <v>1.4</v>
      </c>
      <c r="E80" s="223">
        <v>8</v>
      </c>
      <c r="F80" s="223">
        <f>E80*D80</f>
        <v>11.2</v>
      </c>
      <c r="H80" s="316"/>
      <c r="I80" s="316"/>
      <c r="M80" s="485"/>
    </row>
    <row r="81" spans="1:13" s="223" customFormat="1" ht="15.75">
      <c r="A81" s="226"/>
      <c r="B81" s="308"/>
      <c r="C81" s="223" t="s">
        <v>621</v>
      </c>
      <c r="G81" s="316"/>
      <c r="H81" s="316"/>
      <c r="I81" s="316"/>
      <c r="M81" s="485"/>
    </row>
    <row r="82" spans="1:13" s="223" customFormat="1" ht="15.75">
      <c r="A82" s="226"/>
      <c r="B82" s="308"/>
      <c r="D82" s="520"/>
      <c r="G82" s="316"/>
      <c r="H82" s="316"/>
      <c r="I82" s="316"/>
      <c r="M82" s="485"/>
    </row>
    <row r="83" spans="1:13" s="223" customFormat="1" ht="15.75">
      <c r="A83" s="226"/>
      <c r="B83" s="308"/>
      <c r="D83" s="520"/>
      <c r="G83" s="316"/>
      <c r="H83" s="316"/>
      <c r="I83" s="316"/>
      <c r="M83" s="485"/>
    </row>
    <row r="84" spans="1:13" s="223" customFormat="1" ht="15.75">
      <c r="A84" s="226"/>
      <c r="B84" s="308"/>
      <c r="D84" s="309"/>
      <c r="H84" s="225"/>
      <c r="I84" s="316"/>
      <c r="M84" s="485"/>
    </row>
    <row r="85" spans="1:13" s="223" customFormat="1" ht="15.75">
      <c r="A85" s="226"/>
      <c r="B85" s="308"/>
      <c r="D85" s="312"/>
      <c r="F85" s="235"/>
      <c r="G85" s="317"/>
      <c r="H85" s="225"/>
      <c r="I85" s="316"/>
      <c r="M85" s="485"/>
    </row>
    <row r="86" spans="1:13" s="223" customFormat="1" ht="15.75">
      <c r="A86" s="226"/>
      <c r="B86" s="308"/>
      <c r="D86" s="312"/>
      <c r="F86" s="235"/>
      <c r="G86" s="315"/>
      <c r="H86" s="225"/>
      <c r="I86" s="316"/>
      <c r="M86" s="485"/>
    </row>
    <row r="87" spans="1:13" s="223" customFormat="1" ht="15.75">
      <c r="A87" s="226"/>
      <c r="B87" s="308"/>
      <c r="D87" s="312"/>
      <c r="F87" s="235"/>
      <c r="G87" s="315"/>
      <c r="H87" s="225"/>
      <c r="I87" s="316"/>
      <c r="M87" s="485"/>
    </row>
    <row r="88" spans="1:13" s="223" customFormat="1" ht="15.75">
      <c r="A88" s="226"/>
      <c r="B88" s="308"/>
      <c r="D88" s="312"/>
      <c r="F88" s="235"/>
      <c r="G88" s="315"/>
      <c r="H88" s="225"/>
      <c r="I88" s="316"/>
      <c r="M88" s="485"/>
    </row>
    <row r="89" spans="1:13" s="223" customFormat="1" ht="15.75">
      <c r="A89" s="226"/>
      <c r="B89" s="308"/>
      <c r="D89" s="312"/>
      <c r="F89" s="235"/>
      <c r="G89" s="315"/>
      <c r="H89" s="225"/>
      <c r="I89" s="316"/>
      <c r="M89" s="485"/>
    </row>
    <row r="90" spans="1:13" s="223" customFormat="1" ht="15.75">
      <c r="A90" s="226"/>
      <c r="B90" s="308"/>
      <c r="D90" s="312"/>
      <c r="F90" s="235"/>
      <c r="G90" s="315"/>
      <c r="H90" s="225"/>
      <c r="I90" s="316"/>
      <c r="M90" s="485"/>
    </row>
    <row r="91" spans="1:13" s="223" customFormat="1" ht="15.75">
      <c r="A91" s="226"/>
      <c r="B91" s="308"/>
      <c r="D91" s="312"/>
      <c r="F91" s="235"/>
      <c r="G91" s="315"/>
      <c r="H91" s="225"/>
      <c r="I91" s="316"/>
      <c r="M91" s="485"/>
    </row>
    <row r="92" spans="1:13" s="223" customFormat="1" ht="15.75">
      <c r="A92" s="226"/>
      <c r="B92" s="308"/>
      <c r="D92" s="312"/>
      <c r="F92" s="235"/>
      <c r="G92" s="315"/>
      <c r="H92" s="225"/>
      <c r="I92" s="316"/>
      <c r="M92" s="485"/>
    </row>
    <row r="93" spans="1:13" s="223" customFormat="1" ht="15.75">
      <c r="A93" s="226"/>
      <c r="B93" s="308"/>
      <c r="D93" s="312"/>
      <c r="F93" s="235"/>
      <c r="G93" s="315"/>
      <c r="H93" s="225"/>
      <c r="I93" s="316"/>
      <c r="M93" s="485"/>
    </row>
    <row r="94" spans="1:13" s="223" customFormat="1" ht="15.75">
      <c r="A94" s="226"/>
      <c r="B94" s="308"/>
      <c r="D94" s="312"/>
      <c r="F94" s="235"/>
      <c r="G94" s="315"/>
      <c r="H94" s="225"/>
      <c r="I94" s="316"/>
      <c r="M94" s="485"/>
    </row>
    <row r="95" spans="1:13" s="223" customFormat="1" ht="15.75">
      <c r="A95" s="226"/>
      <c r="B95" s="308"/>
      <c r="D95" s="312"/>
      <c r="F95" s="235"/>
      <c r="G95" s="317"/>
      <c r="H95" s="225"/>
      <c r="I95" s="316"/>
      <c r="M95" s="485"/>
    </row>
    <row r="96" spans="1:13" s="223" customFormat="1" ht="15.75">
      <c r="A96" s="226">
        <v>2</v>
      </c>
      <c r="B96" s="308"/>
      <c r="D96" s="312"/>
      <c r="F96" s="235"/>
      <c r="G96" s="315"/>
      <c r="H96" s="225"/>
      <c r="I96" s="316"/>
      <c r="M96" s="485"/>
    </row>
    <row r="97" spans="1:13" s="223" customFormat="1" ht="15.75">
      <c r="A97" s="226"/>
      <c r="B97" s="308"/>
      <c r="D97" s="312"/>
      <c r="F97" s="235"/>
      <c r="G97" s="315"/>
      <c r="H97" s="225"/>
      <c r="I97" s="316"/>
      <c r="M97" s="485"/>
    </row>
    <row r="98" spans="1:13" s="223" customFormat="1" ht="15.75">
      <c r="A98" s="226"/>
      <c r="B98" s="308"/>
      <c r="D98" s="318"/>
      <c r="E98" s="305"/>
      <c r="F98" s="235"/>
      <c r="G98" s="315"/>
      <c r="H98" s="225"/>
      <c r="I98" s="316"/>
      <c r="M98" s="485"/>
    </row>
    <row r="99" spans="1:13" s="223" customFormat="1">
      <c r="A99" s="226"/>
      <c r="B99" s="308"/>
      <c r="D99" s="319"/>
      <c r="E99" s="305"/>
      <c r="G99" s="320"/>
      <c r="H99" s="225"/>
      <c r="I99" s="225"/>
      <c r="M99" s="485"/>
    </row>
    <row r="100" spans="1:13" s="223" customFormat="1">
      <c r="A100" s="226"/>
      <c r="B100" s="321"/>
      <c r="D100" s="319"/>
      <c r="E100" s="305"/>
      <c r="G100" s="320"/>
      <c r="H100" s="225"/>
      <c r="I100" s="225"/>
      <c r="M100" s="485"/>
    </row>
    <row r="101" spans="1:13" s="223" customFormat="1">
      <c r="A101" s="226"/>
      <c r="B101" s="321"/>
      <c r="E101" s="305"/>
      <c r="G101" s="320"/>
      <c r="H101" s="225"/>
      <c r="I101" s="225"/>
      <c r="M101" s="485"/>
    </row>
    <row r="102" spans="1:13" s="223" customFormat="1" ht="15.75">
      <c r="A102" s="226"/>
      <c r="B102" s="321"/>
      <c r="F102" s="235"/>
      <c r="G102" s="320"/>
      <c r="H102" s="225"/>
      <c r="I102" s="225"/>
      <c r="M102" s="485"/>
    </row>
    <row r="103" spans="1:13" s="223" customFormat="1">
      <c r="A103" s="226"/>
      <c r="B103" s="308"/>
      <c r="G103" s="320"/>
      <c r="H103" s="225"/>
      <c r="I103" s="225"/>
      <c r="M103" s="485"/>
    </row>
    <row r="104" spans="1:13" s="223" customFormat="1">
      <c r="A104" s="226"/>
      <c r="B104" s="321"/>
      <c r="G104" s="320"/>
      <c r="H104" s="225"/>
      <c r="I104" s="225"/>
      <c r="M104" s="485"/>
    </row>
    <row r="105" spans="1:13" s="223" customFormat="1">
      <c r="A105" s="226"/>
      <c r="B105" s="321"/>
      <c r="G105" s="320"/>
      <c r="H105" s="225"/>
      <c r="I105" s="225"/>
      <c r="M105" s="485"/>
    </row>
    <row r="106" spans="1:13" s="223" customFormat="1">
      <c r="A106" s="226"/>
      <c r="B106" s="321"/>
      <c r="G106" s="320"/>
      <c r="H106" s="225"/>
      <c r="I106" s="225"/>
      <c r="M106" s="485"/>
    </row>
    <row r="107" spans="1:13" s="223" customFormat="1">
      <c r="A107" s="226"/>
      <c r="B107" s="321"/>
      <c r="G107" s="320"/>
      <c r="H107" s="225"/>
      <c r="I107" s="225"/>
      <c r="M107" s="485"/>
    </row>
    <row r="108" spans="1:13" s="223" customFormat="1">
      <c r="A108" s="226"/>
      <c r="B108" s="321"/>
      <c r="G108" s="320"/>
      <c r="H108" s="225"/>
      <c r="I108" s="225"/>
      <c r="M108" s="485"/>
    </row>
    <row r="109" spans="1:13" s="223" customFormat="1" ht="15.75">
      <c r="A109" s="226"/>
      <c r="B109" s="321"/>
      <c r="F109" s="235"/>
      <c r="G109" s="320"/>
      <c r="H109" s="225"/>
      <c r="I109" s="225"/>
      <c r="M109" s="485"/>
    </row>
    <row r="110" spans="1:13" s="223" customFormat="1">
      <c r="A110" s="226"/>
      <c r="B110" s="321"/>
      <c r="G110" s="320"/>
      <c r="H110" s="225"/>
      <c r="I110" s="225"/>
      <c r="M110" s="485"/>
    </row>
    <row r="111" spans="1:13" s="223" customFormat="1">
      <c r="A111" s="226"/>
      <c r="B111" s="321"/>
      <c r="G111" s="320"/>
      <c r="H111" s="225"/>
      <c r="I111" s="225"/>
      <c r="M111" s="485"/>
    </row>
    <row r="112" spans="1:13" s="223" customFormat="1">
      <c r="A112" s="226"/>
      <c r="B112" s="321"/>
      <c r="G112" s="320"/>
      <c r="H112" s="225"/>
      <c r="I112" s="225"/>
      <c r="M112" s="485"/>
    </row>
    <row r="113" spans="1:13" s="223" customFormat="1">
      <c r="A113" s="226"/>
      <c r="B113" s="321"/>
      <c r="G113" s="320"/>
      <c r="H113" s="225"/>
      <c r="I113" s="225"/>
      <c r="M113" s="485"/>
    </row>
    <row r="114" spans="1:13" s="223" customFormat="1">
      <c r="A114" s="226"/>
      <c r="B114" s="321"/>
      <c r="G114" s="320"/>
      <c r="H114" s="225"/>
      <c r="I114" s="225"/>
      <c r="M114" s="485"/>
    </row>
    <row r="115" spans="1:13" s="223" customFormat="1" ht="15.75">
      <c r="A115" s="226"/>
      <c r="B115" s="321"/>
      <c r="G115" s="235"/>
      <c r="H115" s="225"/>
      <c r="I115" s="225"/>
      <c r="M115" s="485"/>
    </row>
    <row r="116" spans="1:13" s="223" customFormat="1" ht="15.75">
      <c r="A116" s="226"/>
      <c r="B116" s="321"/>
      <c r="G116" s="235"/>
      <c r="H116" s="225"/>
      <c r="I116" s="225"/>
      <c r="M116" s="485"/>
    </row>
    <row r="117" spans="1:13" s="223" customFormat="1">
      <c r="A117" s="226"/>
      <c r="B117" s="321"/>
      <c r="G117" s="320"/>
      <c r="H117" s="225"/>
      <c r="I117" s="225"/>
      <c r="M117" s="485"/>
    </row>
    <row r="118" spans="1:13" s="223" customFormat="1">
      <c r="A118" s="226"/>
      <c r="B118" s="321"/>
      <c r="G118" s="320"/>
      <c r="H118" s="225"/>
      <c r="I118" s="225"/>
      <c r="M118" s="485"/>
    </row>
    <row r="119" spans="1:13" s="223" customFormat="1">
      <c r="A119" s="226"/>
      <c r="B119" s="321"/>
      <c r="G119" s="320"/>
      <c r="H119" s="225"/>
      <c r="I119" s="225"/>
      <c r="M119" s="485"/>
    </row>
    <row r="120" spans="1:13" s="223" customFormat="1">
      <c r="A120" s="226"/>
      <c r="B120" s="321"/>
      <c r="G120" s="320"/>
      <c r="H120" s="225"/>
      <c r="I120" s="225"/>
      <c r="M120" s="485"/>
    </row>
    <row r="121" spans="1:13" s="223" customFormat="1">
      <c r="A121" s="226"/>
      <c r="B121" s="321"/>
      <c r="G121" s="320"/>
      <c r="H121" s="225"/>
      <c r="I121" s="225"/>
      <c r="M121" s="485"/>
    </row>
    <row r="122" spans="1:13" s="223" customFormat="1" ht="15.75">
      <c r="A122" s="226"/>
      <c r="B122" s="321"/>
      <c r="G122" s="235"/>
      <c r="H122" s="225"/>
      <c r="I122" s="225"/>
      <c r="M122" s="485"/>
    </row>
    <row r="123" spans="1:13" s="223" customFormat="1" ht="15.75">
      <c r="A123" s="226"/>
      <c r="B123" s="321"/>
      <c r="G123" s="235"/>
      <c r="H123" s="225"/>
      <c r="I123" s="225"/>
      <c r="M123" s="485"/>
    </row>
    <row r="124" spans="1:13" s="223" customFormat="1">
      <c r="A124" s="226"/>
      <c r="B124" s="321"/>
      <c r="G124" s="320"/>
      <c r="H124" s="225"/>
      <c r="I124" s="225"/>
      <c r="M124" s="485"/>
    </row>
    <row r="125" spans="1:13" s="223" customFormat="1">
      <c r="A125" s="226"/>
      <c r="D125" s="230"/>
      <c r="E125" s="230"/>
      <c r="F125" s="230"/>
      <c r="G125" s="225"/>
      <c r="H125" s="225"/>
      <c r="I125" s="225"/>
      <c r="J125" s="225"/>
      <c r="M125" s="485"/>
    </row>
    <row r="126" spans="1:13" s="223" customFormat="1">
      <c r="A126" s="226"/>
      <c r="D126" s="230"/>
      <c r="E126" s="230"/>
      <c r="F126" s="230"/>
      <c r="G126" s="225"/>
      <c r="H126" s="225"/>
      <c r="I126" s="225"/>
      <c r="J126" s="225"/>
      <c r="M126" s="485"/>
    </row>
    <row r="127" spans="1:13" s="223" customFormat="1">
      <c r="A127" s="226"/>
      <c r="D127" s="230"/>
      <c r="E127" s="230"/>
      <c r="F127" s="230"/>
      <c r="G127" s="225"/>
      <c r="H127" s="225"/>
      <c r="I127" s="225"/>
      <c r="J127" s="225"/>
      <c r="M127" s="485"/>
    </row>
    <row r="128" spans="1:13" s="223" customFormat="1">
      <c r="A128" s="226"/>
      <c r="D128" s="230"/>
      <c r="E128" s="230"/>
      <c r="F128" s="230"/>
      <c r="G128" s="225"/>
      <c r="H128" s="225"/>
      <c r="I128" s="225"/>
      <c r="J128" s="225"/>
      <c r="M128" s="485"/>
    </row>
    <row r="129" spans="1:13" s="223" customFormat="1">
      <c r="A129" s="226"/>
      <c r="D129" s="230"/>
      <c r="E129" s="230"/>
      <c r="F129" s="230"/>
      <c r="G129" s="225"/>
      <c r="H129" s="225"/>
      <c r="I129" s="225"/>
      <c r="J129" s="225"/>
      <c r="M129" s="485"/>
    </row>
    <row r="130" spans="1:13" s="223" customFormat="1">
      <c r="A130" s="226"/>
      <c r="D130" s="230"/>
      <c r="E130" s="230"/>
      <c r="F130" s="230"/>
      <c r="G130" s="225"/>
      <c r="H130" s="225"/>
      <c r="I130" s="225"/>
      <c r="J130" s="225"/>
      <c r="M130" s="485"/>
    </row>
    <row r="131" spans="1:13" s="223" customFormat="1">
      <c r="A131" s="226"/>
      <c r="D131" s="230"/>
      <c r="E131" s="230"/>
      <c r="F131" s="230"/>
      <c r="G131" s="225"/>
      <c r="H131" s="225"/>
      <c r="I131" s="225"/>
      <c r="J131" s="225"/>
      <c r="M131" s="485"/>
    </row>
    <row r="132" spans="1:13" s="223" customFormat="1" ht="15.75">
      <c r="A132" s="226"/>
      <c r="D132" s="230"/>
      <c r="E132" s="230"/>
      <c r="F132" s="332"/>
      <c r="G132" s="225"/>
      <c r="H132" s="225"/>
      <c r="I132" s="225"/>
      <c r="J132" s="225"/>
      <c r="M132" s="485"/>
    </row>
    <row r="133" spans="1:13" s="223" customFormat="1">
      <c r="A133" s="226"/>
      <c r="D133" s="230"/>
      <c r="E133" s="230"/>
      <c r="F133" s="230"/>
      <c r="G133" s="225"/>
      <c r="H133" s="225"/>
      <c r="I133" s="225"/>
      <c r="J133" s="225"/>
      <c r="M133" s="485"/>
    </row>
    <row r="134" spans="1:13" s="223" customFormat="1">
      <c r="A134" s="226"/>
      <c r="B134" s="333" t="s">
        <v>284</v>
      </c>
      <c r="D134" s="230"/>
      <c r="E134" s="230"/>
      <c r="F134" s="230"/>
      <c r="G134" s="225"/>
      <c r="H134" s="225"/>
      <c r="I134" s="225"/>
      <c r="J134" s="225"/>
      <c r="M134" s="485"/>
    </row>
    <row r="135" spans="1:13" s="223" customFormat="1">
      <c r="A135" s="226"/>
      <c r="D135" s="230"/>
      <c r="E135" s="230"/>
      <c r="F135" s="230"/>
      <c r="G135" s="225"/>
      <c r="H135" s="225"/>
      <c r="I135" s="225"/>
      <c r="J135" s="225"/>
      <c r="M135" s="485"/>
    </row>
    <row r="136" spans="1:13" s="223" customFormat="1">
      <c r="A136" s="226"/>
      <c r="D136" s="230"/>
      <c r="E136" s="230"/>
      <c r="F136" s="230"/>
      <c r="G136" s="225"/>
      <c r="H136" s="225"/>
      <c r="I136" s="225"/>
      <c r="J136" s="225"/>
      <c r="M136" s="485"/>
    </row>
    <row r="137" spans="1:13" s="223" customFormat="1" ht="15.75">
      <c r="A137" s="226"/>
      <c r="D137" s="230"/>
      <c r="E137" s="230"/>
      <c r="F137" s="332"/>
      <c r="G137" s="225"/>
      <c r="H137" s="225"/>
      <c r="I137" s="225"/>
      <c r="J137" s="225"/>
      <c r="M137" s="485"/>
    </row>
    <row r="138" spans="1:13" s="223" customFormat="1">
      <c r="A138" s="226"/>
      <c r="D138" s="230"/>
      <c r="E138" s="230"/>
      <c r="F138" s="230"/>
      <c r="G138" s="225"/>
      <c r="H138" s="225"/>
      <c r="I138" s="225"/>
      <c r="J138" s="225"/>
      <c r="M138" s="485"/>
    </row>
    <row r="139" spans="1:13" s="223" customFormat="1">
      <c r="A139" s="226"/>
      <c r="D139" s="230"/>
      <c r="E139" s="230"/>
      <c r="F139" s="230"/>
      <c r="G139" s="225"/>
      <c r="H139" s="225"/>
      <c r="I139" s="225"/>
      <c r="J139" s="225"/>
      <c r="M139" s="485"/>
    </row>
    <row r="140" spans="1:13" s="223" customFormat="1">
      <c r="A140" s="226"/>
      <c r="M140" s="485"/>
    </row>
    <row r="141" spans="1:13" s="223" customFormat="1">
      <c r="A141" s="226"/>
      <c r="D141" s="230"/>
      <c r="E141" s="230"/>
      <c r="G141" s="230"/>
      <c r="M141" s="485"/>
    </row>
    <row r="142" spans="1:13" s="223" customFormat="1">
      <c r="A142" s="226"/>
      <c r="D142" s="230"/>
      <c r="E142" s="230"/>
      <c r="G142" s="230"/>
      <c r="M142" s="485"/>
    </row>
    <row r="143" spans="1:13" s="223" customFormat="1">
      <c r="A143" s="226"/>
      <c r="D143" s="230"/>
      <c r="E143" s="230"/>
      <c r="G143" s="230"/>
      <c r="M143" s="485"/>
    </row>
    <row r="144" spans="1:13" s="223" customFormat="1">
      <c r="A144" s="226"/>
      <c r="D144" s="230"/>
      <c r="E144" s="230"/>
      <c r="G144" s="230"/>
      <c r="M144" s="485"/>
    </row>
    <row r="145" spans="1:13" s="223" customFormat="1">
      <c r="A145" s="226"/>
      <c r="D145" s="230"/>
      <c r="E145" s="230"/>
      <c r="G145" s="230"/>
      <c r="M145" s="485"/>
    </row>
    <row r="146" spans="1:13" s="223" customFormat="1">
      <c r="A146" s="226"/>
      <c r="D146" s="230"/>
      <c r="E146" s="230"/>
      <c r="G146" s="230"/>
      <c r="M146" s="485"/>
    </row>
    <row r="147" spans="1:13" s="223" customFormat="1">
      <c r="A147" s="226"/>
      <c r="D147" s="230"/>
      <c r="E147" s="230"/>
      <c r="G147" s="230"/>
      <c r="M147" s="485"/>
    </row>
    <row r="148" spans="1:13" s="223" customFormat="1">
      <c r="A148" s="226"/>
      <c r="D148" s="230"/>
      <c r="E148" s="230"/>
      <c r="G148" s="230"/>
      <c r="M148" s="485"/>
    </row>
    <row r="149" spans="1:13" s="223" customFormat="1">
      <c r="A149" s="226"/>
      <c r="D149" s="230"/>
      <c r="E149" s="230"/>
      <c r="G149" s="230"/>
      <c r="M149" s="485"/>
    </row>
    <row r="150" spans="1:13" s="223" customFormat="1">
      <c r="A150" s="226"/>
      <c r="D150" s="230"/>
      <c r="E150" s="230"/>
      <c r="G150" s="230"/>
      <c r="M150" s="485"/>
    </row>
    <row r="151" spans="1:13" s="223" customFormat="1">
      <c r="A151" s="226"/>
      <c r="D151" s="230"/>
      <c r="E151" s="230"/>
      <c r="G151" s="230"/>
      <c r="M151" s="485"/>
    </row>
    <row r="152" spans="1:13" s="223" customFormat="1">
      <c r="A152" s="226"/>
      <c r="D152" s="230"/>
      <c r="E152" s="230"/>
      <c r="G152" s="230"/>
      <c r="M152" s="485"/>
    </row>
    <row r="153" spans="1:13" s="223" customFormat="1">
      <c r="A153" s="226"/>
      <c r="C153" s="231"/>
      <c r="M153" s="485"/>
    </row>
    <row r="156" spans="1:13" s="223" customFormat="1">
      <c r="A156" s="226"/>
      <c r="C156" s="231"/>
      <c r="D156" s="336"/>
      <c r="M156" s="485"/>
    </row>
    <row r="157" spans="1:13" s="223" customFormat="1">
      <c r="A157" s="226"/>
      <c r="B157" s="231"/>
      <c r="M157" s="485"/>
    </row>
    <row r="158" spans="1:13" s="223" customFormat="1">
      <c r="A158" s="226"/>
      <c r="B158" s="231"/>
      <c r="C158" s="336"/>
      <c r="M158" s="485"/>
    </row>
    <row r="159" spans="1:13" s="223" customFormat="1" ht="15.75">
      <c r="A159" s="226"/>
      <c r="B159" s="337"/>
      <c r="C159" s="233"/>
      <c r="I159" s="235"/>
      <c r="J159" s="227"/>
      <c r="M159" s="485"/>
    </row>
    <row r="160" spans="1:13" s="223" customFormat="1">
      <c r="A160" s="226"/>
      <c r="B160" s="245"/>
      <c r="M160" s="485"/>
    </row>
    <row r="161" spans="1:13" s="223" customFormat="1">
      <c r="A161" s="226"/>
      <c r="D161" s="223">
        <f>D141</f>
        <v>0</v>
      </c>
      <c r="E161" s="223">
        <v>2</v>
      </c>
      <c r="G161" s="230">
        <f>E161*D161</f>
        <v>0</v>
      </c>
      <c r="H161" s="223" t="s">
        <v>14</v>
      </c>
      <c r="M161" s="485"/>
    </row>
    <row r="162" spans="1:13" s="223" customFormat="1">
      <c r="A162" s="226"/>
      <c r="B162" s="245"/>
      <c r="C162" s="338" t="s">
        <v>288</v>
      </c>
      <c r="M162" s="485"/>
    </row>
    <row r="163" spans="1:13" s="223" customFormat="1" ht="15.75">
      <c r="A163" s="226"/>
      <c r="B163" s="333" t="s">
        <v>289</v>
      </c>
      <c r="D163" s="338"/>
      <c r="E163" s="223">
        <v>69.45</v>
      </c>
      <c r="F163" s="223">
        <v>2</v>
      </c>
      <c r="G163" s="312">
        <f>F163*E163</f>
        <v>138.9</v>
      </c>
      <c r="M163" s="485"/>
    </row>
    <row r="164" spans="1:13" s="223" customFormat="1" ht="15.75">
      <c r="A164" s="226"/>
      <c r="B164" s="333" t="s">
        <v>290</v>
      </c>
      <c r="D164" s="338"/>
      <c r="E164" s="223">
        <v>51.89</v>
      </c>
      <c r="F164" s="223">
        <v>1</v>
      </c>
      <c r="G164" s="312">
        <f>F164*E164</f>
        <v>51.89</v>
      </c>
      <c r="M164" s="485"/>
    </row>
    <row r="165" spans="1:13" s="223" customFormat="1" ht="15.75">
      <c r="A165" s="226"/>
      <c r="B165" s="245"/>
      <c r="D165" s="338"/>
      <c r="H165" s="235">
        <f>SUM(G163:G164)</f>
        <v>190.79000000000002</v>
      </c>
      <c r="M165" s="485"/>
    </row>
    <row r="166" spans="1:13" s="223" customFormat="1">
      <c r="A166" s="226"/>
      <c r="B166" s="333" t="s">
        <v>291</v>
      </c>
      <c r="D166" s="338"/>
      <c r="G166" s="223">
        <f>G176</f>
        <v>231.5248</v>
      </c>
      <c r="M166" s="485"/>
    </row>
    <row r="169" spans="1:13" s="223" customFormat="1">
      <c r="A169" s="226"/>
      <c r="B169" s="339"/>
      <c r="I169" s="225"/>
      <c r="J169" s="225"/>
      <c r="K169" s="225"/>
      <c r="M169" s="485"/>
    </row>
    <row r="170" spans="1:13" s="223" customFormat="1">
      <c r="A170" s="226" t="s">
        <v>292</v>
      </c>
      <c r="B170" s="339"/>
      <c r="I170" s="225"/>
      <c r="J170" s="225"/>
      <c r="K170" s="225"/>
      <c r="M170" s="485"/>
    </row>
    <row r="171" spans="1:13" s="223" customFormat="1">
      <c r="A171" s="226"/>
      <c r="B171" s="339">
        <v>1</v>
      </c>
      <c r="C171" s="223">
        <v>3</v>
      </c>
      <c r="D171" s="223">
        <v>1.5</v>
      </c>
      <c r="F171" s="223">
        <f>D171*C171</f>
        <v>4.5</v>
      </c>
      <c r="I171" s="225"/>
      <c r="J171" s="225"/>
      <c r="K171" s="225"/>
      <c r="M171" s="485"/>
    </row>
    <row r="172" spans="1:13" s="223" customFormat="1">
      <c r="A172" s="226"/>
      <c r="B172" s="339">
        <v>2</v>
      </c>
      <c r="C172" s="223">
        <v>11.75</v>
      </c>
      <c r="D172" s="223">
        <v>12</v>
      </c>
      <c r="F172" s="223">
        <f>D172*C172</f>
        <v>141</v>
      </c>
      <c r="I172" s="225"/>
      <c r="J172" s="225"/>
      <c r="K172" s="225"/>
      <c r="M172" s="485"/>
    </row>
    <row r="173" spans="1:13" s="223" customFormat="1">
      <c r="A173" s="226"/>
      <c r="B173" s="339">
        <v>3</v>
      </c>
      <c r="C173" s="223">
        <v>5.0599999999999996</v>
      </c>
      <c r="D173" s="223">
        <v>1.94</v>
      </c>
      <c r="E173" s="223">
        <v>2</v>
      </c>
      <c r="F173" s="223">
        <f>E173*D173*C173</f>
        <v>19.6328</v>
      </c>
      <c r="I173" s="225"/>
      <c r="J173" s="225"/>
      <c r="K173" s="225"/>
      <c r="M173" s="485"/>
    </row>
    <row r="174" spans="1:13" s="223" customFormat="1">
      <c r="A174" s="226"/>
      <c r="B174" s="339">
        <v>4</v>
      </c>
      <c r="C174" s="223">
        <v>6.28</v>
      </c>
      <c r="D174" s="223">
        <v>6.2</v>
      </c>
      <c r="F174" s="223">
        <f>D174*C174</f>
        <v>38.936</v>
      </c>
      <c r="I174" s="225"/>
      <c r="J174" s="225"/>
      <c r="K174" s="225"/>
      <c r="M174" s="485"/>
    </row>
    <row r="175" spans="1:13" s="223" customFormat="1">
      <c r="A175" s="226"/>
      <c r="B175" s="339">
        <v>5</v>
      </c>
      <c r="C175" s="223">
        <v>4.8</v>
      </c>
      <c r="D175" s="223">
        <v>2.86</v>
      </c>
      <c r="E175" s="223">
        <v>2</v>
      </c>
      <c r="F175" s="223">
        <f>E175*D175*C175</f>
        <v>27.456</v>
      </c>
      <c r="I175" s="225"/>
      <c r="J175" s="225"/>
      <c r="K175" s="225"/>
      <c r="M175" s="485"/>
    </row>
    <row r="176" spans="1:13" s="223" customFormat="1" ht="15.75">
      <c r="A176" s="226"/>
      <c r="G176" s="235">
        <f>SUM(F171:F175)</f>
        <v>231.5248</v>
      </c>
      <c r="H176" s="235"/>
      <c r="M176" s="485"/>
    </row>
    <row r="177" spans="1:13" s="223" customFormat="1">
      <c r="A177" s="226"/>
      <c r="B177" s="339"/>
      <c r="G177" s="340"/>
      <c r="H177" s="340"/>
      <c r="K177" s="225"/>
      <c r="M177" s="485"/>
    </row>
    <row r="178" spans="1:13" s="223" customFormat="1">
      <c r="A178" s="226"/>
      <c r="B178" s="333" t="s">
        <v>293</v>
      </c>
      <c r="D178" s="223">
        <v>4.8</v>
      </c>
      <c r="E178" s="223">
        <v>2.86</v>
      </c>
      <c r="F178" s="223">
        <v>2</v>
      </c>
      <c r="G178" s="223">
        <f>F178*E178*D178</f>
        <v>27.456</v>
      </c>
      <c r="J178" s="230"/>
      <c r="M178" s="485"/>
    </row>
    <row r="179" spans="1:13" s="223" customFormat="1">
      <c r="A179" s="226"/>
      <c r="B179" s="333" t="s">
        <v>294</v>
      </c>
      <c r="D179" s="223">
        <v>6.2</v>
      </c>
      <c r="E179" s="223">
        <v>6.28</v>
      </c>
      <c r="G179" s="223">
        <f>E179*D179</f>
        <v>38.936</v>
      </c>
      <c r="K179" s="340"/>
      <c r="M179" s="485"/>
    </row>
    <row r="180" spans="1:13" s="223" customFormat="1">
      <c r="A180" s="226"/>
      <c r="B180" s="333" t="s">
        <v>295</v>
      </c>
      <c r="D180" s="223">
        <v>11.75</v>
      </c>
      <c r="E180" s="223">
        <v>12</v>
      </c>
      <c r="F180" s="223">
        <v>4.5</v>
      </c>
      <c r="G180" s="223">
        <f>D180*E180+F180</f>
        <v>145.5</v>
      </c>
      <c r="K180" s="340"/>
      <c r="M180" s="485"/>
    </row>
    <row r="181" spans="1:13" s="223" customFormat="1" ht="17.25">
      <c r="A181" s="226"/>
      <c r="B181" s="339" t="s">
        <v>296</v>
      </c>
      <c r="D181" s="223">
        <v>2</v>
      </c>
      <c r="E181" s="223">
        <v>5</v>
      </c>
      <c r="F181" s="223">
        <v>2</v>
      </c>
      <c r="G181" s="223">
        <f>F181*E181*D181</f>
        <v>20</v>
      </c>
      <c r="J181" s="341"/>
      <c r="K181" s="340"/>
      <c r="M181" s="485"/>
    </row>
    <row r="182" spans="1:13" s="223" customFormat="1">
      <c r="A182" s="226"/>
      <c r="B182" s="339"/>
      <c r="J182" s="342"/>
      <c r="K182" s="342"/>
      <c r="M182" s="485"/>
    </row>
    <row r="183" spans="1:13" s="223" customFormat="1">
      <c r="A183" s="224"/>
      <c r="B183" s="343" t="s">
        <v>297</v>
      </c>
      <c r="D183" s="223">
        <v>3</v>
      </c>
      <c r="E183" s="223">
        <v>6</v>
      </c>
      <c r="F183" s="223">
        <f>E183*D183</f>
        <v>18</v>
      </c>
      <c r="G183" s="320"/>
      <c r="H183" s="227"/>
      <c r="M183" s="485"/>
    </row>
    <row r="184" spans="1:13" s="223" customFormat="1">
      <c r="A184" s="226"/>
      <c r="B184" s="339"/>
      <c r="F184" s="223">
        <v>1.4</v>
      </c>
      <c r="M184" s="485"/>
    </row>
    <row r="185" spans="1:13" s="223" customFormat="1" ht="15.75">
      <c r="A185" s="226"/>
      <c r="B185" s="339"/>
      <c r="F185" s="223">
        <f>SUM(F183:F184)</f>
        <v>19.399999999999999</v>
      </c>
      <c r="G185" s="223">
        <v>3</v>
      </c>
      <c r="H185" s="235">
        <f>G185*F185</f>
        <v>58.199999999999996</v>
      </c>
      <c r="M185" s="485"/>
    </row>
    <row r="186" spans="1:13" s="223" customFormat="1" ht="15.75">
      <c r="A186" s="226"/>
      <c r="B186" s="344"/>
      <c r="G186" s="230"/>
      <c r="H186" s="230"/>
      <c r="M186" s="485"/>
    </row>
    <row r="187" spans="1:13" s="223" customFormat="1">
      <c r="A187" s="226"/>
      <c r="B187" s="345" t="s">
        <v>298</v>
      </c>
      <c r="M187" s="485"/>
    </row>
    <row r="188" spans="1:13" s="223" customFormat="1">
      <c r="A188" s="226"/>
      <c r="B188" s="346"/>
      <c r="D188" s="223" t="s">
        <v>299</v>
      </c>
      <c r="E188" s="223" t="s">
        <v>267</v>
      </c>
      <c r="F188" s="223" t="s">
        <v>241</v>
      </c>
      <c r="G188" s="223" t="s">
        <v>300</v>
      </c>
      <c r="H188" s="223" t="s">
        <v>301</v>
      </c>
      <c r="M188" s="485"/>
    </row>
    <row r="189" spans="1:13" s="223" customFormat="1">
      <c r="A189" s="226"/>
      <c r="B189" s="346"/>
      <c r="C189" s="223" t="s">
        <v>302</v>
      </c>
      <c r="D189" s="223">
        <v>0.15</v>
      </c>
      <c r="E189" s="223">
        <v>1</v>
      </c>
      <c r="F189" s="223">
        <v>1</v>
      </c>
      <c r="G189" s="223">
        <f>F189*E189*D189</f>
        <v>0.15</v>
      </c>
      <c r="H189" s="223">
        <v>350000</v>
      </c>
      <c r="I189" s="223">
        <f>H189*G189</f>
        <v>52500</v>
      </c>
      <c r="M189" s="485"/>
    </row>
    <row r="190" spans="1:13" s="223" customFormat="1">
      <c r="A190" s="226"/>
      <c r="B190" s="346"/>
      <c r="C190" s="223" t="s">
        <v>303</v>
      </c>
      <c r="D190" s="223">
        <v>0.03</v>
      </c>
      <c r="E190" s="223">
        <v>1</v>
      </c>
      <c r="F190" s="223">
        <v>1</v>
      </c>
      <c r="G190" s="223">
        <f>F190*E190*D190</f>
        <v>0.03</v>
      </c>
      <c r="H190" s="223">
        <v>420000</v>
      </c>
      <c r="I190" s="223">
        <f>H190*G190</f>
        <v>12600</v>
      </c>
      <c r="M190" s="485"/>
    </row>
    <row r="191" spans="1:13" s="223" customFormat="1">
      <c r="A191" s="226"/>
      <c r="C191" s="223" t="s">
        <v>304</v>
      </c>
      <c r="D191" s="223">
        <v>1</v>
      </c>
      <c r="E191" s="223">
        <v>1</v>
      </c>
      <c r="F191" s="225">
        <v>1</v>
      </c>
      <c r="G191" s="223">
        <f>F191*E191*D191</f>
        <v>1</v>
      </c>
      <c r="H191" s="225">
        <v>100000</v>
      </c>
      <c r="I191" s="223">
        <f>H191*G191</f>
        <v>100000</v>
      </c>
      <c r="M191" s="485"/>
    </row>
    <row r="192" spans="1:13" s="223" customFormat="1">
      <c r="A192" s="226"/>
      <c r="C192" s="223" t="s">
        <v>229</v>
      </c>
      <c r="E192" s="225"/>
      <c r="G192" s="225">
        <v>1</v>
      </c>
      <c r="H192" s="225">
        <v>50000</v>
      </c>
      <c r="I192" s="223">
        <f>H192*G192</f>
        <v>50000</v>
      </c>
      <c r="M192" s="485"/>
    </row>
    <row r="193" spans="1:13" s="223" customFormat="1">
      <c r="A193" s="226"/>
      <c r="B193" s="330"/>
      <c r="D193" s="223" t="s">
        <v>305</v>
      </c>
      <c r="J193" s="223">
        <f>SUM(I189:I192)</f>
        <v>215100</v>
      </c>
      <c r="M193" s="485"/>
    </row>
    <row r="194" spans="1:13" s="223" customFormat="1">
      <c r="A194" s="226"/>
      <c r="E194" s="225"/>
      <c r="M194" s="485"/>
    </row>
    <row r="195" spans="1:13" s="223" customFormat="1">
      <c r="A195" s="226"/>
      <c r="C195" s="223" t="s">
        <v>142</v>
      </c>
      <c r="D195" s="223" t="s">
        <v>299</v>
      </c>
      <c r="E195" s="225" t="s">
        <v>306</v>
      </c>
      <c r="F195" s="223" t="s">
        <v>307</v>
      </c>
      <c r="G195" s="225" t="s">
        <v>308</v>
      </c>
      <c r="H195" s="225"/>
      <c r="M195" s="485"/>
    </row>
    <row r="196" spans="1:13" s="223" customFormat="1">
      <c r="A196" s="226"/>
      <c r="D196" s="223">
        <v>0.2</v>
      </c>
      <c r="E196" s="223">
        <v>6</v>
      </c>
      <c r="F196" s="223">
        <v>2</v>
      </c>
      <c r="G196" s="223" t="s">
        <v>15</v>
      </c>
      <c r="H196" s="225">
        <f>F196*E196*D196</f>
        <v>2.4000000000000004</v>
      </c>
      <c r="I196" s="225"/>
      <c r="M196" s="485"/>
    </row>
    <row r="198" spans="1:13" s="223" customFormat="1" ht="18">
      <c r="A198" s="226"/>
      <c r="B198" s="347" t="s">
        <v>309</v>
      </c>
      <c r="C198" s="348" t="s">
        <v>310</v>
      </c>
      <c r="D198" s="349">
        <f>1*0.15*0.3</f>
        <v>4.4999999999999998E-2</v>
      </c>
      <c r="E198" s="350" t="s">
        <v>311</v>
      </c>
      <c r="F198" s="351"/>
      <c r="G198" s="352"/>
      <c r="H198" s="353"/>
      <c r="M198" s="485"/>
    </row>
    <row r="199" spans="1:13" s="223" customFormat="1" ht="16.5">
      <c r="A199" s="226"/>
      <c r="B199" s="347"/>
      <c r="C199" s="354" t="s">
        <v>234</v>
      </c>
      <c r="D199" s="355"/>
      <c r="E199" s="356"/>
      <c r="F199" s="357"/>
      <c r="G199" s="357"/>
      <c r="H199" s="353"/>
      <c r="M199" s="485"/>
    </row>
    <row r="200" spans="1:13" s="223" customFormat="1" ht="16.5">
      <c r="A200" s="226"/>
      <c r="B200" s="347"/>
      <c r="C200" s="354" t="s">
        <v>219</v>
      </c>
      <c r="D200" s="355">
        <f>D198*6</f>
        <v>0.27</v>
      </c>
      <c r="E200" s="356" t="s">
        <v>220</v>
      </c>
      <c r="F200" s="357">
        <v>53000</v>
      </c>
      <c r="G200" s="357">
        <f t="shared" ref="G200:G211" si="1">F200*D200</f>
        <v>14310.000000000002</v>
      </c>
      <c r="H200" s="353"/>
      <c r="M200" s="485"/>
    </row>
    <row r="201" spans="1:13" s="223" customFormat="1" ht="18">
      <c r="A201" s="226"/>
      <c r="B201" s="347"/>
      <c r="C201" s="354" t="s">
        <v>222</v>
      </c>
      <c r="D201" s="355">
        <f>D198*0.54</f>
        <v>2.4300000000000002E-2</v>
      </c>
      <c r="E201" s="356" t="s">
        <v>311</v>
      </c>
      <c r="F201" s="357">
        <v>310000</v>
      </c>
      <c r="G201" s="357">
        <f t="shared" si="1"/>
        <v>7533.0000000000009</v>
      </c>
      <c r="H201" s="353"/>
      <c r="M201" s="485"/>
    </row>
    <row r="202" spans="1:13" s="223" customFormat="1" ht="18">
      <c r="A202" s="226"/>
      <c r="B202" s="347"/>
      <c r="C202" s="354" t="s">
        <v>224</v>
      </c>
      <c r="D202" s="355">
        <f>D198*0.82</f>
        <v>3.6899999999999995E-2</v>
      </c>
      <c r="E202" s="356" t="s">
        <v>311</v>
      </c>
      <c r="F202" s="357">
        <v>310000</v>
      </c>
      <c r="G202" s="357">
        <f t="shared" si="1"/>
        <v>11438.999999999998</v>
      </c>
      <c r="H202" s="353"/>
      <c r="M202" s="485"/>
    </row>
    <row r="203" spans="1:13" s="223" customFormat="1" ht="16.5">
      <c r="A203" s="226"/>
      <c r="B203" s="347"/>
      <c r="C203" s="354" t="s">
        <v>226</v>
      </c>
      <c r="D203" s="355">
        <v>1</v>
      </c>
      <c r="E203" s="356" t="s">
        <v>20</v>
      </c>
      <c r="F203" s="357">
        <v>103000</v>
      </c>
      <c r="G203" s="357">
        <f t="shared" si="1"/>
        <v>103000</v>
      </c>
      <c r="H203" s="353"/>
      <c r="M203" s="485"/>
    </row>
    <row r="204" spans="1:13" s="223" customFormat="1" ht="16.5">
      <c r="A204" s="226"/>
      <c r="B204" s="347"/>
      <c r="C204" s="354" t="s">
        <v>239</v>
      </c>
      <c r="D204" s="355">
        <v>0.2</v>
      </c>
      <c r="E204" s="356" t="s">
        <v>20</v>
      </c>
      <c r="F204" s="357">
        <v>39000</v>
      </c>
      <c r="G204" s="357">
        <f t="shared" si="1"/>
        <v>7800</v>
      </c>
      <c r="H204" s="353"/>
      <c r="M204" s="485"/>
    </row>
    <row r="205" spans="1:13" s="223" customFormat="1" ht="16.5">
      <c r="A205" s="226"/>
      <c r="B205" s="347"/>
      <c r="C205" s="354" t="s">
        <v>240</v>
      </c>
      <c r="D205" s="355">
        <v>0.5</v>
      </c>
      <c r="E205" s="356" t="s">
        <v>241</v>
      </c>
      <c r="F205" s="357">
        <v>95000</v>
      </c>
      <c r="G205" s="357">
        <f t="shared" si="1"/>
        <v>47500</v>
      </c>
      <c r="H205" s="353"/>
      <c r="I205" s="225"/>
      <c r="M205" s="485"/>
    </row>
    <row r="206" spans="1:13" s="223" customFormat="1" ht="16.5">
      <c r="A206" s="226"/>
      <c r="B206" s="347"/>
      <c r="C206" s="354" t="s">
        <v>242</v>
      </c>
      <c r="D206" s="355">
        <f>D198*2.5</f>
        <v>0.11249999999999999</v>
      </c>
      <c r="E206" s="356" t="s">
        <v>17</v>
      </c>
      <c r="F206" s="357">
        <v>20000</v>
      </c>
      <c r="G206" s="357">
        <f t="shared" si="1"/>
        <v>2250</v>
      </c>
      <c r="H206" s="353"/>
      <c r="I206" s="225"/>
      <c r="M206" s="485"/>
    </row>
    <row r="207" spans="1:13" s="223" customFormat="1" ht="16.5">
      <c r="A207" s="226"/>
      <c r="B207" s="347"/>
      <c r="C207" s="354" t="s">
        <v>243</v>
      </c>
      <c r="D207" s="355">
        <v>0.02</v>
      </c>
      <c r="E207" s="356" t="s">
        <v>15</v>
      </c>
      <c r="F207" s="357">
        <v>2500000</v>
      </c>
      <c r="G207" s="357">
        <f t="shared" si="1"/>
        <v>50000</v>
      </c>
      <c r="H207" s="353"/>
      <c r="I207" s="225"/>
      <c r="M207" s="485"/>
    </row>
    <row r="208" spans="1:13" s="223" customFormat="1" ht="16.5">
      <c r="A208" s="226"/>
      <c r="B208" s="347"/>
      <c r="C208" s="354" t="s">
        <v>244</v>
      </c>
      <c r="D208" s="355">
        <f>D198*2</f>
        <v>0.09</v>
      </c>
      <c r="E208" s="356" t="s">
        <v>17</v>
      </c>
      <c r="F208" s="357">
        <v>18000</v>
      </c>
      <c r="G208" s="357">
        <f t="shared" si="1"/>
        <v>1620</v>
      </c>
      <c r="H208" s="353"/>
      <c r="I208" s="225"/>
      <c r="M208" s="485"/>
    </row>
    <row r="209" spans="1:13" s="223" customFormat="1" ht="16.5">
      <c r="A209" s="226"/>
      <c r="B209" s="347"/>
      <c r="C209" s="354" t="s">
        <v>245</v>
      </c>
      <c r="D209" s="358">
        <f>0.3*0.12*3</f>
        <v>0.10799999999999998</v>
      </c>
      <c r="E209" s="359" t="s">
        <v>14</v>
      </c>
      <c r="F209" s="360">
        <v>20000</v>
      </c>
      <c r="G209" s="360">
        <f t="shared" si="1"/>
        <v>2159.9999999999995</v>
      </c>
      <c r="H209" s="353"/>
      <c r="I209" s="225"/>
      <c r="M209" s="485"/>
    </row>
    <row r="210" spans="1:13" s="223" customFormat="1" ht="16.5">
      <c r="A210" s="226"/>
      <c r="B210" s="347"/>
      <c r="C210" s="354" t="s">
        <v>228</v>
      </c>
      <c r="D210" s="358">
        <v>8.67</v>
      </c>
      <c r="E210" s="359" t="s">
        <v>17</v>
      </c>
      <c r="F210" s="361">
        <v>3000</v>
      </c>
      <c r="G210" s="360">
        <f t="shared" si="1"/>
        <v>26010</v>
      </c>
      <c r="H210" s="353"/>
      <c r="I210" s="225"/>
      <c r="M210" s="485"/>
    </row>
    <row r="211" spans="1:13" s="223" customFormat="1" ht="18">
      <c r="A211" s="226"/>
      <c r="B211" s="347"/>
      <c r="C211" s="362" t="s">
        <v>229</v>
      </c>
      <c r="D211" s="358">
        <f>D198*1</f>
        <v>4.4999999999999998E-2</v>
      </c>
      <c r="E211" s="359" t="s">
        <v>311</v>
      </c>
      <c r="F211" s="361">
        <v>300000</v>
      </c>
      <c r="G211" s="360">
        <f t="shared" si="1"/>
        <v>13500</v>
      </c>
      <c r="H211" s="353"/>
      <c r="I211" s="225"/>
      <c r="M211" s="485"/>
    </row>
    <row r="212" spans="1:13" s="223" customFormat="1" ht="16.5">
      <c r="A212" s="226"/>
      <c r="B212" s="363"/>
      <c r="C212" s="1148" t="s">
        <v>246</v>
      </c>
      <c r="D212" s="1149"/>
      <c r="E212" s="1149"/>
      <c r="F212" s="1149"/>
      <c r="G212" s="364">
        <f>SUM(G200:G211)</f>
        <v>287122</v>
      </c>
      <c r="H212" s="353">
        <f>G212/D198</f>
        <v>6380488.888888889</v>
      </c>
      <c r="I212" s="225"/>
      <c r="M212" s="485"/>
    </row>
    <row r="213" spans="1:13" s="223" customFormat="1">
      <c r="A213" s="226"/>
      <c r="I213" s="225"/>
      <c r="M213" s="485"/>
    </row>
    <row r="214" spans="1:13" s="223" customFormat="1" ht="18">
      <c r="A214" s="226"/>
      <c r="B214" s="340"/>
      <c r="C214" s="348" t="s">
        <v>312</v>
      </c>
      <c r="D214" s="349">
        <f>0.2*6*2</f>
        <v>2.4000000000000004</v>
      </c>
      <c r="E214" s="350" t="s">
        <v>311</v>
      </c>
      <c r="F214" s="351"/>
      <c r="G214" s="352"/>
      <c r="H214" s="353"/>
      <c r="I214" s="225"/>
      <c r="M214" s="485"/>
    </row>
    <row r="215" spans="1:13" s="223" customFormat="1" ht="16.5">
      <c r="A215" s="226"/>
      <c r="B215" s="340"/>
      <c r="C215" s="354" t="s">
        <v>234</v>
      </c>
      <c r="D215" s="355"/>
      <c r="E215" s="356"/>
      <c r="F215" s="357"/>
      <c r="G215" s="357"/>
      <c r="H215" s="353"/>
      <c r="I215" s="225"/>
      <c r="M215" s="485"/>
    </row>
    <row r="216" spans="1:13" s="223" customFormat="1" ht="16.5">
      <c r="A216" s="226"/>
      <c r="B216" s="340"/>
      <c r="C216" s="354" t="s">
        <v>219</v>
      </c>
      <c r="D216" s="355">
        <f>D214*6</f>
        <v>14.400000000000002</v>
      </c>
      <c r="E216" s="356" t="s">
        <v>220</v>
      </c>
      <c r="F216" s="357">
        <v>53000</v>
      </c>
      <c r="G216" s="357">
        <f t="shared" ref="G216:G226" si="2">F216*D216</f>
        <v>763200.00000000012</v>
      </c>
      <c r="H216" s="353"/>
      <c r="I216" s="225"/>
      <c r="M216" s="485"/>
    </row>
    <row r="217" spans="1:13" s="223" customFormat="1" ht="18">
      <c r="A217" s="226"/>
      <c r="B217" s="340"/>
      <c r="C217" s="354" t="s">
        <v>222</v>
      </c>
      <c r="D217" s="355">
        <f>D214*0.54</f>
        <v>1.2960000000000003</v>
      </c>
      <c r="E217" s="356" t="s">
        <v>311</v>
      </c>
      <c r="F217" s="357">
        <v>310000</v>
      </c>
      <c r="G217" s="357">
        <f t="shared" si="2"/>
        <v>401760.00000000006</v>
      </c>
      <c r="H217" s="353"/>
      <c r="I217" s="342"/>
      <c r="M217" s="485"/>
    </row>
    <row r="218" spans="1:13" s="223" customFormat="1" ht="18">
      <c r="A218" s="226"/>
      <c r="C218" s="354" t="s">
        <v>224</v>
      </c>
      <c r="D218" s="355">
        <f>D214*0.82</f>
        <v>1.9680000000000002</v>
      </c>
      <c r="E218" s="356" t="s">
        <v>311</v>
      </c>
      <c r="F218" s="357">
        <v>310000</v>
      </c>
      <c r="G218" s="357">
        <f t="shared" si="2"/>
        <v>610080.00000000012</v>
      </c>
      <c r="H218" s="353"/>
      <c r="M218" s="485"/>
    </row>
    <row r="219" spans="1:13" s="223" customFormat="1" ht="16.5">
      <c r="A219" s="226"/>
      <c r="C219" s="354" t="s">
        <v>313</v>
      </c>
      <c r="D219" s="355">
        <v>28</v>
      </c>
      <c r="E219" s="356" t="s">
        <v>20</v>
      </c>
      <c r="F219" s="357">
        <v>87000</v>
      </c>
      <c r="G219" s="357">
        <f t="shared" si="2"/>
        <v>2436000</v>
      </c>
      <c r="H219" s="353"/>
      <c r="M219" s="485"/>
    </row>
    <row r="220" spans="1:13" s="223" customFormat="1" ht="16.5">
      <c r="A220" s="226"/>
      <c r="C220" s="354" t="s">
        <v>240</v>
      </c>
      <c r="D220" s="355">
        <v>4</v>
      </c>
      <c r="E220" s="356" t="s">
        <v>241</v>
      </c>
      <c r="F220" s="357">
        <v>95000</v>
      </c>
      <c r="G220" s="357">
        <f t="shared" si="2"/>
        <v>380000</v>
      </c>
      <c r="H220" s="353"/>
      <c r="M220" s="485"/>
    </row>
    <row r="221" spans="1:13" s="223" customFormat="1" ht="18">
      <c r="A221" s="226"/>
      <c r="C221" s="354" t="s">
        <v>242</v>
      </c>
      <c r="D221" s="355">
        <f>D214*2.5</f>
        <v>6.0000000000000009</v>
      </c>
      <c r="E221" s="356" t="s">
        <v>17</v>
      </c>
      <c r="F221" s="357">
        <v>20000</v>
      </c>
      <c r="G221" s="357">
        <f t="shared" si="2"/>
        <v>120000.00000000001</v>
      </c>
      <c r="H221" s="353"/>
      <c r="I221" s="341"/>
      <c r="M221" s="485"/>
    </row>
    <row r="222" spans="1:13" s="223" customFormat="1" ht="16.5">
      <c r="A222" s="226"/>
      <c r="C222" s="354" t="s">
        <v>243</v>
      </c>
      <c r="D222" s="355">
        <v>0.5</v>
      </c>
      <c r="E222" s="356" t="s">
        <v>15</v>
      </c>
      <c r="F222" s="357">
        <v>2500000</v>
      </c>
      <c r="G222" s="357">
        <f t="shared" si="2"/>
        <v>1250000</v>
      </c>
      <c r="H222" s="353"/>
      <c r="I222" s="342"/>
      <c r="J222" s="342"/>
      <c r="M222" s="485"/>
    </row>
    <row r="223" spans="1:13" s="223" customFormat="1" ht="16.5">
      <c r="A223" s="226"/>
      <c r="C223" s="354" t="s">
        <v>244</v>
      </c>
      <c r="D223" s="355">
        <f>D214*2</f>
        <v>4.8000000000000007</v>
      </c>
      <c r="E223" s="356" t="s">
        <v>17</v>
      </c>
      <c r="F223" s="357">
        <v>18000</v>
      </c>
      <c r="G223" s="357">
        <f t="shared" si="2"/>
        <v>86400.000000000015</v>
      </c>
      <c r="H223" s="353"/>
      <c r="M223" s="485"/>
    </row>
    <row r="224" spans="1:13" s="223" customFormat="1" ht="16.5">
      <c r="A224" s="226"/>
      <c r="C224" s="354" t="s">
        <v>245</v>
      </c>
      <c r="D224" s="358">
        <f>2*6</f>
        <v>12</v>
      </c>
      <c r="E224" s="359" t="s">
        <v>14</v>
      </c>
      <c r="F224" s="360">
        <v>20000</v>
      </c>
      <c r="G224" s="360">
        <f t="shared" si="2"/>
        <v>240000</v>
      </c>
      <c r="H224" s="353"/>
      <c r="M224" s="485"/>
    </row>
    <row r="225" spans="1:13" s="223" customFormat="1" ht="16.5">
      <c r="A225" s="226"/>
      <c r="C225" s="354" t="s">
        <v>228</v>
      </c>
      <c r="D225" s="358">
        <f>D219*7.39</f>
        <v>206.92</v>
      </c>
      <c r="E225" s="359" t="s">
        <v>17</v>
      </c>
      <c r="F225" s="361">
        <v>3000</v>
      </c>
      <c r="G225" s="360">
        <f t="shared" si="2"/>
        <v>620760</v>
      </c>
      <c r="H225" s="353"/>
      <c r="M225" s="485"/>
    </row>
    <row r="226" spans="1:13" s="223" customFormat="1" ht="18">
      <c r="A226" s="226"/>
      <c r="C226" s="362" t="s">
        <v>229</v>
      </c>
      <c r="D226" s="358">
        <f>D214*1</f>
        <v>2.4000000000000004</v>
      </c>
      <c r="E226" s="359" t="s">
        <v>311</v>
      </c>
      <c r="F226" s="361">
        <v>300000</v>
      </c>
      <c r="G226" s="360">
        <f t="shared" si="2"/>
        <v>720000.00000000012</v>
      </c>
      <c r="H226" s="353"/>
      <c r="M226" s="485"/>
    </row>
    <row r="227" spans="1:13" s="223" customFormat="1" ht="18">
      <c r="A227" s="226"/>
      <c r="C227" s="1148" t="s">
        <v>246</v>
      </c>
      <c r="D227" s="1149"/>
      <c r="E227" s="1149"/>
      <c r="F227" s="1149"/>
      <c r="G227" s="364">
        <f>SUM(G216:G226)</f>
        <v>7628200</v>
      </c>
      <c r="H227" s="353">
        <f>G227/D214</f>
        <v>3178416.666666666</v>
      </c>
      <c r="I227" s="341"/>
      <c r="M227" s="485"/>
    </row>
    <row r="228" spans="1:13" s="223" customFormat="1">
      <c r="A228" s="226"/>
      <c r="G228" s="225"/>
      <c r="H228" s="225"/>
      <c r="I228" s="225"/>
      <c r="J228" s="225"/>
      <c r="M228" s="485"/>
    </row>
    <row r="229" spans="1:13" s="223" customFormat="1">
      <c r="A229" s="226"/>
      <c r="B229" s="223" t="s">
        <v>620</v>
      </c>
      <c r="M229" s="485"/>
    </row>
    <row r="230" spans="1:13" s="223" customFormat="1">
      <c r="A230" s="226"/>
      <c r="B230" s="339"/>
      <c r="M230" s="485"/>
    </row>
    <row r="233" spans="1:13" s="223" customFormat="1" ht="17.25">
      <c r="A233" s="226"/>
      <c r="I233" s="341"/>
      <c r="M233" s="485"/>
    </row>
    <row r="234" spans="1:13" s="223" customFormat="1">
      <c r="A234" s="226"/>
      <c r="G234" s="225"/>
      <c r="H234" s="225"/>
      <c r="I234" s="225"/>
      <c r="J234" s="225"/>
      <c r="M234" s="485"/>
    </row>
    <row r="236" spans="1:13" s="223" customFormat="1">
      <c r="A236" s="226"/>
      <c r="B236" s="339"/>
      <c r="M236" s="485"/>
    </row>
    <row r="237" spans="1:13" s="223" customFormat="1">
      <c r="A237" s="226"/>
      <c r="B237" s="339"/>
      <c r="M237" s="485"/>
    </row>
    <row r="238" spans="1:13" s="223" customFormat="1">
      <c r="A238" s="226"/>
      <c r="B238" s="339"/>
      <c r="M238" s="485"/>
    </row>
    <row r="239" spans="1:13" s="223" customFormat="1">
      <c r="A239" s="226"/>
      <c r="B239" s="339"/>
      <c r="M239" s="485"/>
    </row>
    <row r="241" spans="1:13" s="223" customFormat="1">
      <c r="A241" s="226"/>
      <c r="M241" s="485"/>
    </row>
    <row r="242" spans="1:13" s="223" customFormat="1">
      <c r="A242" s="365"/>
      <c r="B242" s="366"/>
      <c r="C242" s="265"/>
      <c r="D242" s="265"/>
      <c r="M242" s="485"/>
    </row>
    <row r="243" spans="1:13" s="223" customFormat="1">
      <c r="A243" s="367"/>
      <c r="B243" s="330"/>
      <c r="C243" s="265"/>
      <c r="D243" s="265"/>
      <c r="M243" s="485"/>
    </row>
    <row r="244" spans="1:13" s="223" customFormat="1">
      <c r="A244" s="367"/>
      <c r="B244" s="330"/>
      <c r="C244" s="265"/>
      <c r="D244" s="265"/>
      <c r="M244" s="485"/>
    </row>
    <row r="245" spans="1:13" s="223" customFormat="1">
      <c r="A245" s="367"/>
      <c r="B245" s="330"/>
      <c r="C245" s="265"/>
      <c r="D245" s="265"/>
      <c r="M245" s="485"/>
    </row>
    <row r="246" spans="1:13" s="223" customFormat="1">
      <c r="A246" s="367"/>
      <c r="B246" s="330"/>
      <c r="C246" s="265"/>
      <c r="D246" s="265"/>
      <c r="M246" s="485"/>
    </row>
    <row r="247" spans="1:13" s="223" customFormat="1">
      <c r="A247" s="367"/>
      <c r="B247" s="330"/>
      <c r="C247" s="265"/>
      <c r="D247" s="265"/>
      <c r="M247" s="485"/>
    </row>
    <row r="248" spans="1:13" s="223" customFormat="1">
      <c r="A248" s="367"/>
      <c r="B248" s="330"/>
      <c r="C248" s="265"/>
      <c r="D248" s="265"/>
      <c r="M248" s="485"/>
    </row>
    <row r="249" spans="1:13" s="223" customFormat="1">
      <c r="A249" s="367"/>
      <c r="B249" s="330"/>
      <c r="C249" s="265"/>
      <c r="D249" s="265"/>
      <c r="M249" s="485"/>
    </row>
    <row r="250" spans="1:13" s="223" customFormat="1" ht="17.25">
      <c r="A250" s="367"/>
      <c r="B250" s="330"/>
      <c r="C250" s="265"/>
      <c r="D250" s="265"/>
      <c r="I250" s="341"/>
      <c r="M250" s="485"/>
    </row>
    <row r="251" spans="1:13" s="223" customFormat="1">
      <c r="A251" s="367"/>
      <c r="B251" s="330"/>
      <c r="C251" s="265"/>
      <c r="D251" s="265"/>
      <c r="I251" s="368"/>
      <c r="J251" s="368"/>
      <c r="M251" s="485"/>
    </row>
    <row r="252" spans="1:13" s="223" customFormat="1">
      <c r="A252" s="367"/>
      <c r="B252" s="330"/>
      <c r="C252" s="265"/>
      <c r="D252" s="265"/>
      <c r="M252" s="485"/>
    </row>
    <row r="253" spans="1:13" s="223" customFormat="1">
      <c r="A253" s="367"/>
      <c r="B253" s="330"/>
      <c r="C253" s="265"/>
      <c r="D253" s="265"/>
      <c r="G253" s="369"/>
      <c r="H253" s="369"/>
      <c r="I253" s="369"/>
      <c r="J253" s="369"/>
      <c r="M253" s="485"/>
    </row>
    <row r="254" spans="1:13" s="223" customFormat="1">
      <c r="A254" s="367"/>
      <c r="B254" s="330"/>
      <c r="C254" s="265"/>
      <c r="D254" s="265"/>
      <c r="M254" s="485"/>
    </row>
    <row r="255" spans="1:13" s="223" customFormat="1">
      <c r="A255" s="367"/>
      <c r="B255" s="330"/>
      <c r="C255" s="265"/>
      <c r="D255" s="265"/>
      <c r="M255" s="485"/>
    </row>
    <row r="256" spans="1:13" s="223" customFormat="1">
      <c r="A256" s="367"/>
      <c r="B256" s="330"/>
      <c r="C256" s="265"/>
      <c r="D256" s="265"/>
      <c r="M256" s="485"/>
    </row>
    <row r="257" spans="1:13" s="223" customFormat="1">
      <c r="A257" s="367"/>
      <c r="B257" s="330"/>
      <c r="C257" s="265"/>
      <c r="D257" s="265"/>
      <c r="M257" s="485"/>
    </row>
    <row r="258" spans="1:13" s="223" customFormat="1">
      <c r="A258" s="367"/>
      <c r="B258" s="330"/>
      <c r="C258" s="265"/>
      <c r="D258" s="265"/>
      <c r="M258" s="485"/>
    </row>
    <row r="259" spans="1:13" s="223" customFormat="1">
      <c r="A259" s="367"/>
      <c r="B259" s="330"/>
      <c r="C259" s="265"/>
      <c r="D259" s="265"/>
      <c r="M259" s="485"/>
    </row>
    <row r="260" spans="1:13" s="223" customFormat="1" ht="17.25">
      <c r="A260" s="367"/>
      <c r="B260" s="330"/>
      <c r="C260" s="265"/>
      <c r="D260" s="265"/>
      <c r="I260" s="341"/>
      <c r="M260" s="485"/>
    </row>
    <row r="261" spans="1:13" s="223" customFormat="1">
      <c r="A261" s="367"/>
      <c r="B261" s="330"/>
      <c r="C261" s="265"/>
      <c r="D261" s="265"/>
      <c r="G261" s="233"/>
      <c r="H261" s="233"/>
      <c r="I261" s="369"/>
      <c r="J261" s="369"/>
      <c r="M261" s="485"/>
    </row>
    <row r="262" spans="1:13" s="223" customFormat="1">
      <c r="A262" s="367"/>
      <c r="B262" s="330"/>
      <c r="C262" s="265"/>
      <c r="D262" s="265"/>
      <c r="M262" s="485"/>
    </row>
    <row r="263" spans="1:13" s="223" customFormat="1">
      <c r="A263" s="367"/>
      <c r="B263" s="330"/>
      <c r="C263" s="265"/>
      <c r="D263" s="265"/>
      <c r="M263" s="485"/>
    </row>
    <row r="264" spans="1:13" s="223" customFormat="1">
      <c r="A264" s="367"/>
      <c r="B264" s="330"/>
      <c r="C264" s="265"/>
      <c r="D264" s="265"/>
      <c r="M264" s="485"/>
    </row>
    <row r="265" spans="1:13" s="223" customFormat="1">
      <c r="A265" s="367"/>
      <c r="B265" s="330"/>
      <c r="C265" s="265"/>
      <c r="D265" s="265"/>
      <c r="M265" s="485"/>
    </row>
    <row r="266" spans="1:13" s="223" customFormat="1">
      <c r="A266" s="367"/>
      <c r="B266" s="330"/>
      <c r="C266" s="265"/>
      <c r="D266" s="265"/>
      <c r="M266" s="485"/>
    </row>
    <row r="267" spans="1:13" s="223" customFormat="1" ht="17.25">
      <c r="A267" s="367"/>
      <c r="B267" s="330"/>
      <c r="C267" s="265"/>
      <c r="D267" s="265"/>
      <c r="I267" s="341"/>
      <c r="M267" s="485"/>
    </row>
    <row r="268" spans="1:13" s="223" customFormat="1">
      <c r="A268" s="367"/>
      <c r="B268" s="330"/>
      <c r="C268" s="265"/>
      <c r="D268" s="265"/>
      <c r="G268" s="233"/>
      <c r="H268" s="233"/>
      <c r="I268" s="369"/>
      <c r="J268" s="369"/>
      <c r="M268" s="485"/>
    </row>
    <row r="269" spans="1:13" s="223" customFormat="1">
      <c r="A269" s="367"/>
      <c r="B269" s="330"/>
      <c r="C269" s="265"/>
      <c r="D269" s="265"/>
      <c r="M269" s="485"/>
    </row>
    <row r="270" spans="1:13" s="223" customFormat="1">
      <c r="A270" s="226"/>
      <c r="B270" s="265"/>
      <c r="C270" s="265"/>
      <c r="D270" s="265"/>
      <c r="M270" s="485"/>
    </row>
    <row r="271" spans="1:13" s="223" customFormat="1">
      <c r="A271" s="226"/>
      <c r="I271" s="368"/>
      <c r="J271" s="368"/>
      <c r="M271" s="485"/>
    </row>
    <row r="272" spans="1:13" s="223" customFormat="1">
      <c r="A272" s="226"/>
      <c r="M272" s="485"/>
    </row>
    <row r="273" spans="1:13" s="223" customFormat="1">
      <c r="A273" s="226"/>
      <c r="M273" s="485"/>
    </row>
    <row r="274" spans="1:13" s="223" customFormat="1">
      <c r="A274" s="378"/>
      <c r="B274" s="366"/>
      <c r="C274" s="265"/>
      <c r="D274" s="265"/>
      <c r="E274" s="265"/>
      <c r="F274" s="265"/>
      <c r="M274" s="485"/>
    </row>
    <row r="275" spans="1:13" s="223" customFormat="1">
      <c r="A275" s="226"/>
      <c r="B275" s="330"/>
      <c r="C275" s="265"/>
      <c r="D275" s="265"/>
      <c r="E275" s="265"/>
      <c r="F275" s="265"/>
      <c r="M275" s="485"/>
    </row>
    <row r="276" spans="1:13" s="223" customFormat="1">
      <c r="A276" s="226"/>
      <c r="B276" s="343"/>
      <c r="C276" s="265"/>
      <c r="D276" s="265"/>
      <c r="E276" s="265"/>
      <c r="F276" s="265"/>
      <c r="M276" s="485"/>
    </row>
    <row r="277" spans="1:13" s="223" customFormat="1">
      <c r="A277" s="226"/>
      <c r="B277" s="330"/>
      <c r="C277" s="265"/>
      <c r="D277" s="265"/>
      <c r="E277" s="379"/>
      <c r="F277" s="380"/>
      <c r="G277" s="340"/>
      <c r="H277" s="340"/>
      <c r="J277" s="265"/>
      <c r="M277" s="485"/>
    </row>
    <row r="278" spans="1:13" s="223" customFormat="1">
      <c r="A278" s="226"/>
      <c r="B278" s="330"/>
      <c r="C278" s="265"/>
      <c r="D278" s="265"/>
      <c r="E278" s="379"/>
      <c r="F278" s="380"/>
      <c r="G278" s="340"/>
      <c r="H278" s="340"/>
      <c r="J278" s="265"/>
      <c r="M278" s="485"/>
    </row>
    <row r="279" spans="1:13" s="223" customFormat="1">
      <c r="A279" s="226"/>
      <c r="B279" s="330"/>
      <c r="C279" s="265"/>
      <c r="D279" s="265"/>
      <c r="E279" s="379"/>
      <c r="F279" s="380"/>
      <c r="G279" s="340"/>
      <c r="H279" s="340"/>
      <c r="I279" s="342"/>
      <c r="J279" s="265"/>
      <c r="M279" s="485"/>
    </row>
    <row r="280" spans="1:13" s="223" customFormat="1">
      <c r="A280" s="226"/>
      <c r="B280" s="330"/>
      <c r="C280" s="265"/>
      <c r="D280" s="265"/>
      <c r="E280" s="379"/>
      <c r="F280" s="380"/>
      <c r="G280" s="340"/>
      <c r="H280" s="340"/>
      <c r="J280" s="265"/>
      <c r="M280" s="485"/>
    </row>
    <row r="281" spans="1:13" s="223" customFormat="1">
      <c r="A281" s="226"/>
      <c r="B281" s="343"/>
      <c r="C281" s="265"/>
      <c r="D281" s="265"/>
      <c r="E281" s="265"/>
      <c r="J281" s="265"/>
      <c r="M281" s="485"/>
    </row>
    <row r="282" spans="1:13" s="223" customFormat="1" ht="17.25">
      <c r="A282" s="226"/>
      <c r="B282" s="330"/>
      <c r="C282" s="265"/>
      <c r="D282" s="265"/>
      <c r="E282" s="265"/>
      <c r="G282" s="340"/>
      <c r="H282" s="340"/>
      <c r="J282" s="264"/>
      <c r="M282" s="485"/>
    </row>
    <row r="283" spans="1:13" s="223" customFormat="1" ht="17.25">
      <c r="A283" s="226"/>
      <c r="B283" s="330"/>
      <c r="C283" s="265"/>
      <c r="D283" s="265"/>
      <c r="E283" s="265"/>
      <c r="G283" s="340"/>
      <c r="H283" s="340"/>
      <c r="J283" s="264"/>
      <c r="M283" s="485"/>
    </row>
    <row r="284" spans="1:13" s="223" customFormat="1">
      <c r="A284" s="226"/>
      <c r="B284" s="330"/>
      <c r="C284" s="265"/>
      <c r="D284" s="265"/>
      <c r="E284" s="265"/>
      <c r="G284" s="340"/>
      <c r="H284" s="340"/>
      <c r="J284" s="265"/>
      <c r="M284" s="485"/>
    </row>
    <row r="285" spans="1:13" s="223" customFormat="1" ht="17.25">
      <c r="A285" s="226"/>
      <c r="B285" s="330"/>
      <c r="C285" s="265"/>
      <c r="D285" s="265"/>
      <c r="E285" s="265"/>
      <c r="F285" s="265"/>
      <c r="G285" s="382"/>
      <c r="H285" s="382"/>
      <c r="M285" s="485"/>
    </row>
    <row r="286" spans="1:13" s="223" customFormat="1">
      <c r="A286" s="226"/>
      <c r="B286" s="330"/>
      <c r="C286" s="265"/>
      <c r="D286" s="265"/>
      <c r="E286" s="265"/>
      <c r="F286" s="265"/>
      <c r="G286" s="342"/>
      <c r="H286" s="342"/>
      <c r="I286" s="342"/>
      <c r="M286" s="485"/>
    </row>
    <row r="287" spans="1:13" s="223" customFormat="1">
      <c r="A287" s="226"/>
      <c r="B287" s="330"/>
      <c r="C287" s="265"/>
      <c r="D287" s="265"/>
      <c r="E287" s="265"/>
      <c r="F287" s="265"/>
      <c r="M287" s="485"/>
    </row>
    <row r="288" spans="1:13" s="223" customFormat="1">
      <c r="A288" s="226"/>
      <c r="B288" s="330"/>
      <c r="C288" s="265"/>
      <c r="D288" s="265"/>
      <c r="E288" s="265"/>
      <c r="F288" s="265"/>
      <c r="M288" s="485"/>
    </row>
    <row r="289" spans="1:13" s="223" customFormat="1">
      <c r="A289" s="226"/>
      <c r="B289" s="343"/>
      <c r="C289" s="265"/>
      <c r="D289" s="265"/>
      <c r="E289" s="265"/>
      <c r="F289" s="265"/>
      <c r="M289" s="485"/>
    </row>
    <row r="290" spans="1:13" s="223" customFormat="1">
      <c r="A290" s="226"/>
      <c r="B290" s="330"/>
      <c r="C290" s="265"/>
      <c r="D290" s="265"/>
      <c r="E290" s="265"/>
      <c r="F290" s="265"/>
      <c r="M290" s="485"/>
    </row>
    <row r="291" spans="1:13" s="223" customFormat="1">
      <c r="A291" s="226"/>
      <c r="B291" s="330"/>
      <c r="C291" s="265"/>
      <c r="D291" s="265"/>
      <c r="E291" s="265"/>
      <c r="F291" s="265"/>
      <c r="M291" s="485"/>
    </row>
    <row r="292" spans="1:13" s="223" customFormat="1">
      <c r="A292" s="367"/>
      <c r="B292" s="330"/>
      <c r="K292" s="225"/>
      <c r="M292" s="485"/>
    </row>
    <row r="293" spans="1:13" s="223" customFormat="1">
      <c r="A293" s="367"/>
      <c r="B293" s="330"/>
      <c r="M293" s="485"/>
    </row>
    <row r="294" spans="1:13" s="223" customFormat="1">
      <c r="A294" s="367"/>
      <c r="B294" s="330"/>
      <c r="M294" s="485"/>
    </row>
    <row r="295" spans="1:13" s="223" customFormat="1">
      <c r="A295" s="367"/>
      <c r="B295" s="330"/>
      <c r="I295" s="340"/>
      <c r="J295" s="340"/>
      <c r="K295" s="340"/>
      <c r="M295" s="485"/>
    </row>
    <row r="296" spans="1:13" s="223" customFormat="1">
      <c r="A296" s="367"/>
      <c r="B296" s="330"/>
      <c r="I296" s="392"/>
      <c r="J296" s="392"/>
      <c r="K296" s="340"/>
      <c r="M296" s="485"/>
    </row>
    <row r="297" spans="1:13" s="223" customFormat="1" ht="17.25">
      <c r="A297" s="367"/>
      <c r="B297" s="330"/>
      <c r="J297" s="368"/>
      <c r="K297" s="382"/>
      <c r="M297" s="485"/>
    </row>
    <row r="298" spans="1:13" s="223" customFormat="1">
      <c r="A298" s="367"/>
      <c r="K298" s="225"/>
      <c r="M298" s="485"/>
    </row>
    <row r="299" spans="1:13" s="223" customFormat="1">
      <c r="A299" s="367"/>
      <c r="B299" s="330"/>
      <c r="K299" s="368"/>
      <c r="M299" s="485"/>
    </row>
    <row r="300" spans="1:13" s="223" customFormat="1">
      <c r="A300" s="367"/>
      <c r="B300" s="330"/>
      <c r="K300" s="368"/>
      <c r="M300" s="485"/>
    </row>
    <row r="301" spans="1:13" s="223" customFormat="1">
      <c r="A301" s="367"/>
      <c r="B301" s="330"/>
      <c r="K301" s="368"/>
      <c r="M301" s="485"/>
    </row>
    <row r="302" spans="1:13" s="223" customFormat="1">
      <c r="A302" s="367"/>
      <c r="B302" s="330"/>
      <c r="K302" s="368"/>
      <c r="M302" s="485"/>
    </row>
    <row r="303" spans="1:13" s="223" customFormat="1">
      <c r="A303" s="367"/>
      <c r="B303" s="330"/>
      <c r="K303" s="368"/>
      <c r="M303" s="485"/>
    </row>
    <row r="304" spans="1:13" s="223" customFormat="1">
      <c r="A304" s="367"/>
      <c r="B304" s="330"/>
      <c r="M304" s="485"/>
    </row>
    <row r="305" spans="1:13" s="223" customFormat="1">
      <c r="A305" s="367"/>
      <c r="B305" s="330"/>
      <c r="M305" s="485"/>
    </row>
    <row r="306" spans="1:13" s="223" customFormat="1">
      <c r="A306" s="367"/>
      <c r="B306" s="343"/>
      <c r="M306" s="485"/>
    </row>
    <row r="307" spans="1:13">
      <c r="A307" s="367"/>
      <c r="B307" s="330"/>
    </row>
    <row r="308" spans="1:13" ht="17.25">
      <c r="A308" s="367"/>
      <c r="B308" s="330"/>
      <c r="J308" s="341"/>
    </row>
    <row r="309" spans="1:13">
      <c r="A309" s="367"/>
      <c r="B309" s="330"/>
      <c r="J309" s="368"/>
    </row>
    <row r="310" spans="1:13">
      <c r="A310" s="367"/>
      <c r="B310" s="330"/>
    </row>
    <row r="311" spans="1:13">
      <c r="A311" s="367"/>
      <c r="B311" s="330"/>
    </row>
    <row r="312" spans="1:13">
      <c r="A312" s="367"/>
      <c r="B312" s="330"/>
      <c r="J312" s="225"/>
      <c r="K312" s="225"/>
      <c r="L312" s="225"/>
      <c r="M312" s="557"/>
    </row>
    <row r="313" spans="1:13">
      <c r="A313" s="367"/>
      <c r="B313" s="343"/>
    </row>
    <row r="314" spans="1:13">
      <c r="A314" s="367"/>
      <c r="B314" s="330"/>
    </row>
    <row r="315" spans="1:13">
      <c r="B315" s="330"/>
    </row>
    <row r="316" spans="1:13">
      <c r="B316" s="330"/>
    </row>
    <row r="317" spans="1:13">
      <c r="B317" s="330"/>
      <c r="J317" s="225"/>
      <c r="K317" s="225"/>
      <c r="L317" s="225"/>
      <c r="M317" s="557"/>
    </row>
    <row r="321" spans="9:12" ht="17.25">
      <c r="K321" s="341"/>
    </row>
    <row r="323" spans="9:12">
      <c r="J323" s="225"/>
      <c r="K323" s="225"/>
    </row>
    <row r="328" spans="9:12" ht="17.25">
      <c r="K328" s="341"/>
    </row>
    <row r="329" spans="9:12">
      <c r="J329" s="225"/>
      <c r="K329" s="225"/>
    </row>
    <row r="330" spans="9:12">
      <c r="I330" s="412"/>
      <c r="J330" s="413"/>
      <c r="K330" s="412"/>
      <c r="L330" s="413"/>
    </row>
    <row r="332" spans="9:12">
      <c r="J332" s="225"/>
    </row>
    <row r="335" spans="9:12" ht="17.25">
      <c r="K335" s="341"/>
    </row>
    <row r="336" spans="9:12">
      <c r="J336" s="225"/>
      <c r="K336" s="225"/>
    </row>
    <row r="337" spans="9:13">
      <c r="I337" s="412"/>
      <c r="J337" s="413"/>
      <c r="K337" s="412"/>
      <c r="L337" s="412"/>
      <c r="M337" s="557"/>
    </row>
    <row r="341" spans="9:13">
      <c r="J341" s="225"/>
    </row>
    <row r="342" spans="9:13" ht="17.25">
      <c r="J342" s="225"/>
      <c r="K342" s="341"/>
    </row>
    <row r="343" spans="9:13">
      <c r="J343" s="225"/>
      <c r="K343" s="225"/>
    </row>
    <row r="346" spans="9:13" ht="17.25">
      <c r="K346" s="341"/>
    </row>
    <row r="347" spans="9:13">
      <c r="J347" s="225"/>
      <c r="K347" s="225"/>
    </row>
    <row r="348" spans="9:13">
      <c r="I348" s="412"/>
      <c r="J348" s="413"/>
      <c r="K348" s="412"/>
      <c r="L348" s="412"/>
      <c r="M348" s="557"/>
    </row>
    <row r="350" spans="9:13">
      <c r="J350" s="225"/>
    </row>
    <row r="351" spans="9:13">
      <c r="J351" s="225"/>
    </row>
    <row r="352" spans="9:13">
      <c r="J352" s="225"/>
      <c r="K352" s="225"/>
    </row>
    <row r="354" spans="9:13" ht="17.25">
      <c r="K354" s="341"/>
    </row>
    <row r="355" spans="9:13">
      <c r="J355" s="225"/>
      <c r="K355" s="225"/>
    </row>
    <row r="356" spans="9:13">
      <c r="I356" s="412"/>
      <c r="J356" s="413"/>
      <c r="K356" s="412"/>
      <c r="L356" s="412"/>
      <c r="M356" s="557"/>
    </row>
  </sheetData>
  <mergeCells count="3">
    <mergeCell ref="C212:F212"/>
    <mergeCell ref="C227:F227"/>
    <mergeCell ref="C39:F39"/>
  </mergeCells>
  <pageMargins left="0.69930555555555596" right="0.69930555555555596" top="0.75" bottom="0.75" header="0.3" footer="0.3"/>
  <pageSetup paperSize="9" orientation="portrait" verticalDpi="300" r:id="rId1"/>
  <headerFooter alignWithMargins="0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423B4A-F1C2-4A97-AB10-E26125CA8590}">
  <dimension ref="A1:O121"/>
  <sheetViews>
    <sheetView workbookViewId="0">
      <selection activeCell="M35" sqref="M35"/>
    </sheetView>
  </sheetViews>
  <sheetFormatPr defaultColWidth="9.140625" defaultRowHeight="12.75"/>
  <cols>
    <col min="1" max="1" width="9.140625" style="255"/>
    <col min="2" max="2" width="6.42578125" style="255" customWidth="1"/>
    <col min="3" max="3" width="37.28515625" style="255" customWidth="1"/>
    <col min="4" max="4" width="24.42578125" style="255" customWidth="1"/>
    <col min="5" max="5" width="5.140625" style="371" customWidth="1"/>
    <col min="6" max="6" width="9.42578125" style="255" customWidth="1"/>
    <col min="7" max="7" width="11.5703125" style="372" customWidth="1"/>
    <col min="8" max="8" width="15.5703125" style="255" customWidth="1"/>
    <col min="9" max="9" width="9.28515625" style="255" customWidth="1"/>
    <col min="10" max="10" width="12.42578125" style="255" bestFit="1" customWidth="1"/>
    <col min="11" max="13" width="9.140625" style="255"/>
    <col min="14" max="14" width="14.140625" style="255" customWidth="1"/>
    <col min="15" max="15" width="11" style="255" bestFit="1" customWidth="1"/>
    <col min="16" max="16384" width="9.140625" style="255"/>
  </cols>
  <sheetData>
    <row r="1" spans="2:10">
      <c r="B1" s="654" t="s">
        <v>0</v>
      </c>
    </row>
    <row r="2" spans="2:10">
      <c r="B2" s="654" t="s">
        <v>718</v>
      </c>
      <c r="C2" s="654" t="s">
        <v>785</v>
      </c>
      <c r="D2" s="654"/>
      <c r="E2" s="658"/>
      <c r="F2" s="658"/>
      <c r="G2" s="802"/>
      <c r="H2" s="801"/>
    </row>
    <row r="3" spans="2:10">
      <c r="B3" s="657" t="s">
        <v>717</v>
      </c>
      <c r="C3" s="654" t="s">
        <v>716</v>
      </c>
      <c r="D3" s="654"/>
      <c r="E3" s="658"/>
      <c r="F3" s="658"/>
      <c r="G3" s="802"/>
      <c r="H3" s="801"/>
    </row>
    <row r="4" spans="2:10">
      <c r="B4" s="657" t="s">
        <v>715</v>
      </c>
      <c r="C4" s="654" t="s">
        <v>714</v>
      </c>
      <c r="D4" s="654"/>
      <c r="G4" s="802"/>
      <c r="H4" s="801" t="s">
        <v>713</v>
      </c>
    </row>
    <row r="5" spans="2:10">
      <c r="B5" s="657" t="s">
        <v>712</v>
      </c>
      <c r="C5" s="654"/>
      <c r="D5" s="654"/>
      <c r="E5" s="658"/>
      <c r="F5" s="658"/>
      <c r="G5" s="802"/>
      <c r="H5" s="801"/>
    </row>
    <row r="6" spans="2:10">
      <c r="B6" s="1152" t="s">
        <v>6</v>
      </c>
      <c r="C6" s="1152" t="s">
        <v>7</v>
      </c>
      <c r="D6" s="1152" t="s">
        <v>711</v>
      </c>
      <c r="E6" s="1152" t="s">
        <v>710</v>
      </c>
      <c r="F6" s="1152"/>
      <c r="G6" s="1155" t="s">
        <v>709</v>
      </c>
      <c r="H6" s="800" t="s">
        <v>5</v>
      </c>
      <c r="I6" s="1150" t="s">
        <v>708</v>
      </c>
    </row>
    <row r="7" spans="2:10">
      <c r="B7" s="1153"/>
      <c r="C7" s="1153"/>
      <c r="D7" s="1154"/>
      <c r="E7" s="1153"/>
      <c r="F7" s="1154"/>
      <c r="G7" s="1156"/>
      <c r="H7" s="799" t="s">
        <v>707</v>
      </c>
      <c r="I7" s="1151"/>
    </row>
    <row r="8" spans="2:10">
      <c r="B8" s="763"/>
      <c r="C8" s="763"/>
      <c r="D8" s="766"/>
      <c r="E8" s="763"/>
      <c r="F8" s="763"/>
      <c r="G8" s="761"/>
      <c r="H8" s="798"/>
      <c r="I8" s="798"/>
    </row>
    <row r="9" spans="2:10">
      <c r="B9" s="781" t="s">
        <v>339</v>
      </c>
      <c r="C9" s="778" t="s">
        <v>340</v>
      </c>
      <c r="D9" s="256"/>
      <c r="E9" s="733"/>
      <c r="F9" s="733"/>
      <c r="G9" s="759"/>
      <c r="H9" s="724"/>
      <c r="I9" s="724"/>
    </row>
    <row r="10" spans="2:10" ht="15">
      <c r="B10" s="733">
        <v>1</v>
      </c>
      <c r="C10" s="256" t="s">
        <v>341</v>
      </c>
      <c r="D10" s="256"/>
      <c r="E10" s="757" t="s">
        <v>675</v>
      </c>
      <c r="F10" s="323">
        <v>1</v>
      </c>
      <c r="G10" s="759">
        <v>400000</v>
      </c>
      <c r="H10" s="754">
        <f>F10*G10</f>
        <v>400000</v>
      </c>
      <c r="I10" s="753">
        <f>H10/$H$97</f>
        <v>2.4951475741381074E-3</v>
      </c>
    </row>
    <row r="11" spans="2:10" ht="15">
      <c r="B11" s="733">
        <f>B10+1</f>
        <v>2</v>
      </c>
      <c r="C11" s="256" t="s">
        <v>343</v>
      </c>
      <c r="D11" s="256"/>
      <c r="E11" s="733" t="s">
        <v>655</v>
      </c>
      <c r="F11" s="323">
        <v>25</v>
      </c>
      <c r="G11" s="759">
        <v>20000</v>
      </c>
      <c r="H11" s="754">
        <f>F11*G11</f>
        <v>500000</v>
      </c>
      <c r="I11" s="753">
        <f>H11/$H$97</f>
        <v>3.1189344676726344E-3</v>
      </c>
    </row>
    <row r="12" spans="2:10">
      <c r="B12" s="733">
        <f>B11+1</f>
        <v>3</v>
      </c>
      <c r="C12" s="256" t="s">
        <v>345</v>
      </c>
      <c r="D12" s="256" t="s">
        <v>706</v>
      </c>
      <c r="E12" s="733" t="s">
        <v>14</v>
      </c>
      <c r="F12" s="323"/>
      <c r="G12" s="759">
        <v>50000</v>
      </c>
      <c r="H12" s="754">
        <f>F12*G12</f>
        <v>0</v>
      </c>
      <c r="I12" s="753">
        <f>H12/$H$97</f>
        <v>0</v>
      </c>
    </row>
    <row r="13" spans="2:10">
      <c r="B13" s="733">
        <f>B12+1</f>
        <v>4</v>
      </c>
      <c r="C13" s="729" t="s">
        <v>346</v>
      </c>
      <c r="D13" s="729"/>
      <c r="E13" s="728" t="s">
        <v>18</v>
      </c>
      <c r="F13" s="797"/>
      <c r="G13" s="792">
        <v>1000000</v>
      </c>
      <c r="H13" s="754">
        <f>F13*G13</f>
        <v>0</v>
      </c>
      <c r="I13" s="753">
        <f>H13/$H$97</f>
        <v>0</v>
      </c>
    </row>
    <row r="14" spans="2:10">
      <c r="B14" s="733">
        <f>B13+1</f>
        <v>5</v>
      </c>
      <c r="C14" s="256" t="s">
        <v>347</v>
      </c>
      <c r="D14" s="256"/>
      <c r="E14" s="733" t="s">
        <v>18</v>
      </c>
      <c r="F14" s="323"/>
      <c r="G14" s="759">
        <v>2500000</v>
      </c>
      <c r="H14" s="754">
        <f>F14*G14</f>
        <v>0</v>
      </c>
      <c r="I14" s="753">
        <f>H14/$H$97</f>
        <v>0</v>
      </c>
    </row>
    <row r="15" spans="2:10">
      <c r="B15" s="796"/>
      <c r="C15" s="795"/>
      <c r="D15" s="795"/>
      <c r="E15" s="794"/>
      <c r="F15" s="793"/>
      <c r="G15" s="792"/>
      <c r="H15" s="785"/>
      <c r="I15" s="753"/>
    </row>
    <row r="16" spans="2:10">
      <c r="B16" s="752"/>
      <c r="C16" s="751"/>
      <c r="D16" s="789" t="s">
        <v>705</v>
      </c>
      <c r="E16" s="749"/>
      <c r="F16" s="748"/>
      <c r="G16" s="747"/>
      <c r="H16" s="746">
        <f>SUM(H10:H14)</f>
        <v>900000</v>
      </c>
      <c r="I16" s="745">
        <f>SUM(I10:I14)</f>
        <v>5.6140820418107418E-3</v>
      </c>
      <c r="J16" s="674"/>
    </row>
    <row r="17" spans="2:10">
      <c r="B17" s="766" t="s">
        <v>349</v>
      </c>
      <c r="C17" s="765" t="s">
        <v>704</v>
      </c>
      <c r="D17" s="764"/>
      <c r="E17" s="763"/>
      <c r="F17" s="791"/>
      <c r="G17" s="761"/>
      <c r="H17" s="760"/>
      <c r="I17" s="724"/>
    </row>
    <row r="18" spans="2:10" ht="15">
      <c r="B18" s="733">
        <v>1</v>
      </c>
      <c r="C18" s="256" t="s">
        <v>554</v>
      </c>
      <c r="D18" s="256"/>
      <c r="E18" s="733" t="s">
        <v>669</v>
      </c>
      <c r="F18" s="323">
        <f>' ARS 118 '!G22</f>
        <v>13.68</v>
      </c>
      <c r="G18" s="759">
        <v>150000</v>
      </c>
      <c r="H18" s="754">
        <f>F18*G18</f>
        <v>2052000</v>
      </c>
      <c r="I18" s="753">
        <f>H18/$H$97</f>
        <v>1.2800107055328492E-2</v>
      </c>
      <c r="J18" s="674"/>
    </row>
    <row r="19" spans="2:10" ht="15">
      <c r="B19" s="733">
        <f>B18+1</f>
        <v>2</v>
      </c>
      <c r="C19" s="256" t="s">
        <v>352</v>
      </c>
      <c r="D19" s="256" t="s">
        <v>703</v>
      </c>
      <c r="E19" s="733" t="s">
        <v>669</v>
      </c>
      <c r="F19" s="323">
        <f>' ARS 118 '!D22*' ARS 118 '!F22*0.05</f>
        <v>1.1400000000000001</v>
      </c>
      <c r="G19" s="759">
        <f>'[84] RAB'!F13</f>
        <v>310000</v>
      </c>
      <c r="H19" s="754">
        <f>F19*G19</f>
        <v>353400.00000000006</v>
      </c>
      <c r="I19" s="753">
        <f>H19/$H$97</f>
        <v>2.2044628817510185E-3</v>
      </c>
    </row>
    <row r="20" spans="2:10" ht="15">
      <c r="B20" s="733">
        <f>B19+1</f>
        <v>3</v>
      </c>
      <c r="C20" s="256" t="s">
        <v>211</v>
      </c>
      <c r="D20" s="256" t="s">
        <v>702</v>
      </c>
      <c r="E20" s="733" t="s">
        <v>669</v>
      </c>
      <c r="F20" s="323">
        <f>' ARS 118 '!G23</f>
        <v>9.1199999999999992</v>
      </c>
      <c r="G20" s="759">
        <f>'[84] RAB'!G98</f>
        <v>973500</v>
      </c>
      <c r="H20" s="754">
        <f>F20*G20</f>
        <v>8878320</v>
      </c>
      <c r="I20" s="753">
        <f>H20/$H$97</f>
        <v>5.5381796526054607E-2</v>
      </c>
    </row>
    <row r="21" spans="2:10">
      <c r="B21" s="757"/>
      <c r="C21" s="758"/>
      <c r="D21" s="758"/>
      <c r="E21" s="757"/>
      <c r="F21" s="756"/>
      <c r="G21" s="755"/>
      <c r="H21" s="768"/>
      <c r="I21" s="724"/>
      <c r="J21" s="790"/>
    </row>
    <row r="22" spans="2:10">
      <c r="B22" s="752"/>
      <c r="C22" s="751"/>
      <c r="D22" s="789" t="s">
        <v>700</v>
      </c>
      <c r="E22" s="749"/>
      <c r="F22" s="748"/>
      <c r="G22" s="788"/>
      <c r="H22" s="746">
        <f>SUM(H18:H21)</f>
        <v>11283720</v>
      </c>
      <c r="I22" s="745">
        <f>SUM(I18:I21)</f>
        <v>7.038636646313412E-2</v>
      </c>
      <c r="J22" s="674"/>
    </row>
    <row r="23" spans="2:10">
      <c r="B23" s="766" t="s">
        <v>354</v>
      </c>
      <c r="C23" s="765" t="s">
        <v>699</v>
      </c>
      <c r="D23" s="764"/>
      <c r="E23" s="763"/>
      <c r="F23" s="791"/>
      <c r="G23" s="761"/>
      <c r="H23" s="760"/>
      <c r="I23" s="724"/>
    </row>
    <row r="24" spans="2:10" ht="15">
      <c r="B24" s="763">
        <v>1</v>
      </c>
      <c r="C24" s="256" t="s">
        <v>784</v>
      </c>
      <c r="D24" s="256"/>
      <c r="E24" s="733" t="s">
        <v>669</v>
      </c>
      <c r="F24" s="791">
        <f>' ARS 118 '!G24</f>
        <v>1.1399999999999999</v>
      </c>
      <c r="G24" s="761">
        <f>' ARS 118 '!O16</f>
        <v>5809144.444444444</v>
      </c>
      <c r="H24" s="754">
        <f>F24*G24</f>
        <v>6622424.666666666</v>
      </c>
      <c r="I24" s="753">
        <f>H24/$H$97</f>
        <v>4.1309817104864241E-2</v>
      </c>
    </row>
    <row r="25" spans="2:10" ht="15">
      <c r="B25" s="763">
        <v>2</v>
      </c>
      <c r="C25" s="256" t="s">
        <v>557</v>
      </c>
      <c r="D25" s="256" t="s">
        <v>697</v>
      </c>
      <c r="E25" s="733" t="s">
        <v>669</v>
      </c>
      <c r="F25" s="323">
        <f>' ARS 118 '!H25</f>
        <v>0.94499999999999995</v>
      </c>
      <c r="G25" s="759">
        <f>G24</f>
        <v>5809144.444444444</v>
      </c>
      <c r="H25" s="754">
        <f>F25*G25</f>
        <v>5489641.4999999991</v>
      </c>
      <c r="I25" s="753">
        <f>H25/$H$97</f>
        <v>3.4243664179032199E-2</v>
      </c>
      <c r="J25" s="790"/>
    </row>
    <row r="26" spans="2:10">
      <c r="B26" s="763">
        <f>B25+1</f>
        <v>3</v>
      </c>
      <c r="C26" s="256" t="s">
        <v>558</v>
      </c>
      <c r="D26" s="256"/>
      <c r="E26" s="733" t="s">
        <v>254</v>
      </c>
      <c r="F26" s="323">
        <f>'[84] ARS 317 pos blok A'!H28</f>
        <v>0.61875000000000002</v>
      </c>
      <c r="G26" s="759">
        <f>G25</f>
        <v>5809144.444444444</v>
      </c>
      <c r="H26" s="754">
        <f>F26*G26</f>
        <v>3594408.125</v>
      </c>
      <c r="I26" s="753">
        <f>H26/$H$97</f>
        <v>2.2421446783890134E-2</v>
      </c>
      <c r="J26" s="790"/>
    </row>
    <row r="27" spans="2:10">
      <c r="B27" s="772"/>
      <c r="C27" s="758"/>
      <c r="D27" s="256"/>
      <c r="E27" s="733"/>
      <c r="F27" s="769"/>
      <c r="G27" s="755"/>
      <c r="H27" s="754"/>
      <c r="I27" s="753"/>
      <c r="J27" s="790"/>
    </row>
    <row r="28" spans="2:10">
      <c r="B28" s="752"/>
      <c r="C28" s="751"/>
      <c r="D28" s="789" t="s">
        <v>696</v>
      </c>
      <c r="E28" s="749"/>
      <c r="F28" s="771"/>
      <c r="G28" s="788"/>
      <c r="H28" s="746">
        <f>SUM(H24:H27)</f>
        <v>15706474.291666664</v>
      </c>
      <c r="I28" s="745">
        <f>SUM(I24:I27)</f>
        <v>9.7974928067786571E-2</v>
      </c>
      <c r="J28" s="674"/>
    </row>
    <row r="29" spans="2:10">
      <c r="B29" s="766" t="s">
        <v>359</v>
      </c>
      <c r="C29" s="765" t="s">
        <v>695</v>
      </c>
      <c r="D29" s="764"/>
      <c r="E29" s="763"/>
      <c r="F29" s="762"/>
      <c r="G29" s="761"/>
      <c r="H29" s="760"/>
      <c r="I29" s="724"/>
    </row>
    <row r="30" spans="2:10" ht="15">
      <c r="B30" s="763">
        <v>1</v>
      </c>
      <c r="C30" s="256" t="s">
        <v>593</v>
      </c>
      <c r="D30" s="787"/>
      <c r="E30" s="733" t="s">
        <v>675</v>
      </c>
      <c r="F30" s="255">
        <f>' ARS 118 '!I38</f>
        <v>83.399999999999991</v>
      </c>
      <c r="G30" s="372">
        <f>'[84] RAB'!G112</f>
        <v>136420</v>
      </c>
      <c r="H30" s="754">
        <f>F30*G30</f>
        <v>11377427.999999998</v>
      </c>
      <c r="I30" s="753">
        <f>H30/$H$97</f>
        <v>7.0970904685327435E-2</v>
      </c>
    </row>
    <row r="31" spans="2:10" ht="15">
      <c r="B31" s="763">
        <f>B30+1</f>
        <v>2</v>
      </c>
      <c r="C31" s="255" t="s">
        <v>783</v>
      </c>
      <c r="D31" s="658"/>
      <c r="E31" s="733" t="s">
        <v>675</v>
      </c>
      <c r="F31" s="786">
        <v>22</v>
      </c>
      <c r="G31" s="372">
        <f>'[82] RAB'!N113</f>
        <v>299970</v>
      </c>
      <c r="H31" s="754">
        <f>F31*G31</f>
        <v>6599340</v>
      </c>
      <c r="I31" s="753">
        <f>H31/$H$97</f>
        <v>4.1165817979781444E-2</v>
      </c>
    </row>
    <row r="32" spans="2:10">
      <c r="B32" s="763">
        <v>3</v>
      </c>
      <c r="D32" s="658"/>
      <c r="F32" s="786"/>
      <c r="H32" s="785"/>
      <c r="I32" s="753"/>
    </row>
    <row r="33" spans="2:14">
      <c r="B33" s="752"/>
      <c r="C33" s="751"/>
      <c r="D33" s="750" t="s">
        <v>694</v>
      </c>
      <c r="E33" s="749"/>
      <c r="F33" s="771"/>
      <c r="G33" s="747"/>
      <c r="H33" s="746">
        <f>SUM(H30:H31)</f>
        <v>17976768</v>
      </c>
      <c r="I33" s="745">
        <f>SUM(I30:I31)</f>
        <v>0.11213672266510888</v>
      </c>
      <c r="J33" s="746"/>
    </row>
    <row r="34" spans="2:14">
      <c r="B34" s="766" t="s">
        <v>362</v>
      </c>
      <c r="C34" s="765" t="s">
        <v>693</v>
      </c>
      <c r="D34" s="764"/>
      <c r="E34" s="763"/>
      <c r="F34" s="762"/>
      <c r="G34" s="761"/>
      <c r="H34" s="760"/>
      <c r="I34" s="724"/>
      <c r="J34" s="674"/>
    </row>
    <row r="35" spans="2:14" ht="15">
      <c r="B35" s="763">
        <v>1</v>
      </c>
      <c r="C35" s="256" t="s">
        <v>364</v>
      </c>
      <c r="D35" s="256"/>
      <c r="E35" s="733" t="s">
        <v>675</v>
      </c>
      <c r="F35" s="784">
        <f>F30*2</f>
        <v>166.79999999999998</v>
      </c>
      <c r="G35" s="759">
        <f>'[84] RAB'!G134+'[84] RAB'!G139</f>
        <v>86318.571428571435</v>
      </c>
      <c r="H35" s="754">
        <f>F35*G35</f>
        <v>14397937.714285715</v>
      </c>
      <c r="I35" s="753">
        <f>H35/$H$97</f>
        <v>8.981244840097892E-2</v>
      </c>
    </row>
    <row r="36" spans="2:14" ht="15">
      <c r="B36" s="763">
        <v>2</v>
      </c>
      <c r="C36" s="256" t="s">
        <v>561</v>
      </c>
      <c r="D36" s="256"/>
      <c r="E36" s="733" t="s">
        <v>675</v>
      </c>
      <c r="F36" s="770"/>
      <c r="G36" s="759">
        <f>G35</f>
        <v>86318.571428571435</v>
      </c>
      <c r="H36" s="754">
        <f>F36*G36</f>
        <v>0</v>
      </c>
      <c r="I36" s="753">
        <f>H36/$H$97</f>
        <v>0</v>
      </c>
    </row>
    <row r="37" spans="2:14" ht="15">
      <c r="B37" s="763">
        <f>B36+1</f>
        <v>3</v>
      </c>
      <c r="C37" s="256" t="s">
        <v>284</v>
      </c>
      <c r="D37" s="256"/>
      <c r="E37" s="733" t="s">
        <v>675</v>
      </c>
      <c r="F37" s="323">
        <v>14.5</v>
      </c>
      <c r="G37" s="759">
        <v>145000</v>
      </c>
      <c r="H37" s="754">
        <f>F37*G37</f>
        <v>2102500</v>
      </c>
      <c r="I37" s="753">
        <f>H37/$H$97</f>
        <v>1.3115119436563428E-2</v>
      </c>
    </row>
    <row r="38" spans="2:14">
      <c r="B38" s="783"/>
      <c r="C38" s="256"/>
      <c r="D38" s="256"/>
      <c r="E38" s="733"/>
      <c r="F38" s="770"/>
      <c r="G38" s="759"/>
      <c r="H38" s="754"/>
      <c r="I38" s="753"/>
    </row>
    <row r="39" spans="2:14">
      <c r="B39" s="752"/>
      <c r="C39" s="751"/>
      <c r="D39" s="750" t="s">
        <v>692</v>
      </c>
      <c r="E39" s="749"/>
      <c r="F39" s="771"/>
      <c r="G39" s="747"/>
      <c r="H39" s="746">
        <f>SUM(H35:H37)</f>
        <v>16500437.714285715</v>
      </c>
      <c r="I39" s="745">
        <f>SUM(I35:I37)</f>
        <v>0.10292756783754235</v>
      </c>
      <c r="J39" s="746"/>
      <c r="N39" s="674"/>
    </row>
    <row r="40" spans="2:14">
      <c r="B40" s="782" t="s">
        <v>366</v>
      </c>
      <c r="C40" s="765" t="s">
        <v>691</v>
      </c>
      <c r="D40" s="764"/>
      <c r="E40" s="763"/>
      <c r="F40" s="762"/>
      <c r="G40" s="761"/>
      <c r="H40" s="760"/>
      <c r="I40" s="724"/>
    </row>
    <row r="41" spans="2:14" ht="15">
      <c r="B41" s="763">
        <v>1</v>
      </c>
      <c r="C41" s="256" t="s">
        <v>562</v>
      </c>
      <c r="D41" s="256"/>
      <c r="E41" s="733" t="s">
        <v>675</v>
      </c>
      <c r="F41" s="323">
        <v>80</v>
      </c>
      <c r="G41" s="759">
        <v>175000</v>
      </c>
      <c r="H41" s="754">
        <f>F41*G41</f>
        <v>14000000</v>
      </c>
      <c r="I41" s="753">
        <f>H41/$H$97</f>
        <v>8.7330165094833753E-2</v>
      </c>
    </row>
    <row r="42" spans="2:14" ht="15">
      <c r="B42" s="763">
        <f>B41+1</f>
        <v>2</v>
      </c>
      <c r="C42" s="256" t="s">
        <v>782</v>
      </c>
      <c r="D42" s="256"/>
      <c r="E42" s="733" t="s">
        <v>675</v>
      </c>
      <c r="F42" s="323">
        <f>F41</f>
        <v>80</v>
      </c>
      <c r="G42" s="759">
        <f>'[82] RAB'!L85</f>
        <v>497200</v>
      </c>
      <c r="H42" s="754">
        <f>F42*G42</f>
        <v>39776000</v>
      </c>
      <c r="I42" s="753">
        <f>H42/$H$97</f>
        <v>0.2481174747722934</v>
      </c>
    </row>
    <row r="43" spans="2:14" ht="15">
      <c r="B43" s="763">
        <f>B42+1</f>
        <v>3</v>
      </c>
      <c r="C43" s="256" t="s">
        <v>781</v>
      </c>
      <c r="D43" s="256"/>
      <c r="E43" s="733" t="s">
        <v>655</v>
      </c>
      <c r="F43" s="323">
        <v>10</v>
      </c>
      <c r="G43" s="759">
        <v>100000</v>
      </c>
      <c r="H43" s="754">
        <f>F43*G43</f>
        <v>1000000</v>
      </c>
      <c r="I43" s="753">
        <f>H43/$H$97</f>
        <v>6.2378689353452688E-3</v>
      </c>
    </row>
    <row r="44" spans="2:14" ht="15">
      <c r="B44" s="763">
        <f>B43+1</f>
        <v>4</v>
      </c>
      <c r="D44" s="256"/>
      <c r="E44" s="733" t="s">
        <v>675</v>
      </c>
      <c r="F44" s="323"/>
      <c r="G44" s="759"/>
      <c r="H44" s="754">
        <f>F44*G44</f>
        <v>0</v>
      </c>
      <c r="I44" s="753">
        <f>H44/$H$97</f>
        <v>0</v>
      </c>
    </row>
    <row r="45" spans="2:14">
      <c r="B45" s="752"/>
      <c r="C45" s="751"/>
      <c r="D45" s="750" t="s">
        <v>690</v>
      </c>
      <c r="E45" s="749"/>
      <c r="F45" s="771"/>
      <c r="G45" s="747"/>
      <c r="H45" s="746">
        <f>SUM(H41:H44)</f>
        <v>54776000</v>
      </c>
      <c r="I45" s="745">
        <f>SUM(I40:I44)</f>
        <v>0.34168550880247245</v>
      </c>
      <c r="J45" s="674"/>
    </row>
    <row r="46" spans="2:14">
      <c r="B46" s="763"/>
      <c r="C46" s="764"/>
      <c r="D46" s="766"/>
      <c r="E46" s="763"/>
      <c r="F46" s="762"/>
      <c r="G46" s="761"/>
      <c r="H46" s="780"/>
      <c r="I46" s="724"/>
    </row>
    <row r="47" spans="2:14">
      <c r="B47" s="781" t="s">
        <v>369</v>
      </c>
      <c r="C47" s="778" t="s">
        <v>689</v>
      </c>
      <c r="D47" s="256"/>
      <c r="E47" s="733"/>
      <c r="F47" s="770"/>
      <c r="G47" s="759"/>
      <c r="H47" s="754"/>
      <c r="I47" s="724"/>
    </row>
    <row r="48" spans="2:14" ht="15">
      <c r="B48" s="773">
        <v>1</v>
      </c>
      <c r="C48" s="256" t="s">
        <v>35</v>
      </c>
      <c r="D48" s="256"/>
      <c r="E48" s="733" t="s">
        <v>675</v>
      </c>
      <c r="F48" s="323">
        <f>8*10</f>
        <v>80</v>
      </c>
      <c r="G48" s="759">
        <f>'[84] RAB'!G226</f>
        <v>122200</v>
      </c>
      <c r="H48" s="754">
        <f>F48*G48</f>
        <v>9776000</v>
      </c>
      <c r="I48" s="753">
        <f>H48/$H$97</f>
        <v>6.0981406711935346E-2</v>
      </c>
      <c r="J48" s="672"/>
    </row>
    <row r="49" spans="1:10" ht="15">
      <c r="B49" s="757">
        <v>2</v>
      </c>
      <c r="C49" s="758"/>
      <c r="D49" s="758"/>
      <c r="E49" s="733" t="s">
        <v>675</v>
      </c>
      <c r="F49" s="756"/>
      <c r="G49" s="755"/>
      <c r="H49" s="768"/>
      <c r="I49" s="753"/>
    </row>
    <row r="50" spans="1:10">
      <c r="B50" s="752"/>
      <c r="C50" s="751"/>
      <c r="D50" s="750" t="s">
        <v>688</v>
      </c>
      <c r="E50" s="749"/>
      <c r="F50" s="771"/>
      <c r="G50" s="747"/>
      <c r="H50" s="746">
        <f>SUM(H48:H48)</f>
        <v>9776000</v>
      </c>
      <c r="I50" s="745">
        <f>SUM(I47:I49)</f>
        <v>6.0981406711935346E-2</v>
      </c>
      <c r="J50" s="674"/>
    </row>
    <row r="51" spans="1:10">
      <c r="B51" s="763"/>
      <c r="C51" s="764"/>
      <c r="D51" s="766"/>
      <c r="E51" s="763"/>
      <c r="F51" s="762"/>
      <c r="G51" s="761"/>
      <c r="H51" s="780"/>
      <c r="I51" s="724"/>
    </row>
    <row r="52" spans="1:10">
      <c r="B52" s="779" t="s">
        <v>372</v>
      </c>
      <c r="C52" s="778" t="s">
        <v>687</v>
      </c>
      <c r="D52" s="256"/>
      <c r="E52" s="733"/>
      <c r="F52" s="770"/>
      <c r="G52" s="759"/>
      <c r="H52" s="754"/>
      <c r="I52" s="724"/>
    </row>
    <row r="53" spans="1:10" ht="15">
      <c r="B53" s="733">
        <v>1</v>
      </c>
      <c r="C53" s="256" t="s">
        <v>374</v>
      </c>
      <c r="D53" s="256" t="s">
        <v>686</v>
      </c>
      <c r="E53" s="733" t="s">
        <v>675</v>
      </c>
      <c r="F53" s="323">
        <f>6*8</f>
        <v>48</v>
      </c>
      <c r="G53" s="759">
        <v>10000</v>
      </c>
      <c r="H53" s="754">
        <f>F53*G53</f>
        <v>480000</v>
      </c>
      <c r="I53" s="753">
        <f>H53/$H$97</f>
        <v>2.9941770889657291E-3</v>
      </c>
    </row>
    <row r="54" spans="1:10" ht="15">
      <c r="B54" s="733">
        <v>2</v>
      </c>
      <c r="C54" s="256" t="s">
        <v>375</v>
      </c>
      <c r="D54" s="256" t="s">
        <v>685</v>
      </c>
      <c r="E54" s="733" t="s">
        <v>669</v>
      </c>
      <c r="F54" s="770">
        <f>F53*0.03</f>
        <v>1.44</v>
      </c>
      <c r="G54" s="759">
        <f>G19</f>
        <v>310000</v>
      </c>
      <c r="H54" s="754">
        <f>F54*G54</f>
        <v>446400</v>
      </c>
      <c r="I54" s="753">
        <f>H54/$H$97</f>
        <v>2.7845846927381278E-3</v>
      </c>
    </row>
    <row r="55" spans="1:10" ht="15">
      <c r="B55" s="773">
        <v>3</v>
      </c>
      <c r="C55" s="777" t="s">
        <v>569</v>
      </c>
      <c r="D55" s="256" t="s">
        <v>684</v>
      </c>
      <c r="E55" s="733" t="s">
        <v>669</v>
      </c>
      <c r="F55" s="323">
        <f>F53*0.03</f>
        <v>1.44</v>
      </c>
      <c r="G55" s="759">
        <f>'[82] RAB'!G245</f>
        <v>813980</v>
      </c>
      <c r="H55" s="754">
        <f>F55*G55</f>
        <v>1172131.2</v>
      </c>
      <c r="I55" s="753">
        <f>H55/$H$97</f>
        <v>7.3116008006289717E-3</v>
      </c>
    </row>
    <row r="56" spans="1:10">
      <c r="B56" s="733">
        <v>4</v>
      </c>
      <c r="C56" s="256" t="s">
        <v>376</v>
      </c>
      <c r="D56" s="256"/>
      <c r="E56" s="733"/>
      <c r="F56" s="770"/>
      <c r="G56" s="759"/>
      <c r="H56" s="754"/>
      <c r="I56" s="724"/>
    </row>
    <row r="57" spans="1:10" ht="15">
      <c r="B57" s="733"/>
      <c r="C57" s="256" t="s">
        <v>293</v>
      </c>
      <c r="D57" s="256"/>
      <c r="E57" s="733" t="s">
        <v>675</v>
      </c>
      <c r="F57" s="323">
        <v>4</v>
      </c>
      <c r="G57" s="759">
        <f>'[84] RAB'!H197</f>
        <v>141690</v>
      </c>
      <c r="H57" s="754">
        <f>F57*G57</f>
        <v>566760</v>
      </c>
      <c r="I57" s="753">
        <f>H57/$H$97</f>
        <v>3.5353745977962842E-3</v>
      </c>
    </row>
    <row r="58" spans="1:10" ht="15">
      <c r="B58" s="733"/>
      <c r="C58" s="256" t="s">
        <v>780</v>
      </c>
      <c r="D58" s="256" t="s">
        <v>683</v>
      </c>
      <c r="E58" s="733" t="s">
        <v>675</v>
      </c>
      <c r="F58" s="323">
        <v>40</v>
      </c>
      <c r="G58" s="759">
        <f>'[84] RAB'!H203</f>
        <v>120900</v>
      </c>
      <c r="H58" s="754">
        <f>F58*G58</f>
        <v>4836000</v>
      </c>
      <c r="I58" s="753">
        <f>H58/$H$97</f>
        <v>3.0166334171329717E-2</v>
      </c>
    </row>
    <row r="59" spans="1:10" ht="15">
      <c r="B59" s="733"/>
      <c r="C59" s="256" t="s">
        <v>682</v>
      </c>
      <c r="D59" s="256"/>
      <c r="E59" s="733" t="s">
        <v>675</v>
      </c>
      <c r="F59" s="323">
        <v>8</v>
      </c>
      <c r="G59" s="759">
        <f>'[84] RAB'!H191</f>
        <v>120900</v>
      </c>
      <c r="H59" s="754">
        <f>F59*G59</f>
        <v>967200</v>
      </c>
      <c r="I59" s="753">
        <f>H59/$H$97</f>
        <v>6.0332668342659435E-3</v>
      </c>
    </row>
    <row r="60" spans="1:10">
      <c r="A60" s="673"/>
      <c r="B60" s="733"/>
      <c r="D60" s="256"/>
      <c r="E60" s="733"/>
      <c r="F60" s="770"/>
      <c r="G60" s="759"/>
      <c r="H60" s="754">
        <f>F60*G60</f>
        <v>0</v>
      </c>
      <c r="I60" s="753">
        <f>H60/$H$97</f>
        <v>0</v>
      </c>
    </row>
    <row r="61" spans="1:10">
      <c r="B61" s="752"/>
      <c r="C61" s="751"/>
      <c r="D61" s="750" t="s">
        <v>681</v>
      </c>
      <c r="E61" s="749"/>
      <c r="F61" s="771"/>
      <c r="G61" s="747"/>
      <c r="H61" s="746">
        <f>SUM(H53:H60)</f>
        <v>8468491.1999999993</v>
      </c>
      <c r="I61" s="745">
        <f>SUM(I53:I60)</f>
        <v>5.2825338185724775E-2</v>
      </c>
      <c r="J61" s="674"/>
    </row>
    <row r="62" spans="1:10">
      <c r="A62" s="672"/>
      <c r="B62" s="766" t="s">
        <v>378</v>
      </c>
      <c r="C62" s="765" t="s">
        <v>379</v>
      </c>
      <c r="D62" s="764"/>
      <c r="E62" s="763"/>
      <c r="F62" s="762"/>
      <c r="G62" s="761"/>
      <c r="H62" s="760"/>
      <c r="I62" s="724"/>
      <c r="J62" s="776"/>
    </row>
    <row r="63" spans="1:10">
      <c r="B63" s="733">
        <v>1</v>
      </c>
      <c r="C63" s="256" t="s">
        <v>779</v>
      </c>
      <c r="D63" s="256"/>
      <c r="E63" s="733" t="s">
        <v>254</v>
      </c>
      <c r="F63" s="323">
        <f>' ARS 118 '!F30</f>
        <v>11.1</v>
      </c>
      <c r="G63" s="759">
        <v>140000</v>
      </c>
      <c r="H63" s="754">
        <f>F63*G63</f>
        <v>1554000</v>
      </c>
      <c r="I63" s="753">
        <f>H63/$H$97</f>
        <v>9.6936483255265476E-3</v>
      </c>
      <c r="J63" s="775"/>
    </row>
    <row r="64" spans="1:10">
      <c r="B64" s="733">
        <v>2</v>
      </c>
      <c r="C64" s="256" t="s">
        <v>633</v>
      </c>
      <c r="D64" s="256"/>
      <c r="E64" s="733" t="s">
        <v>254</v>
      </c>
      <c r="F64" s="323">
        <f>7.2*3</f>
        <v>21.6</v>
      </c>
      <c r="G64" s="759">
        <v>140000</v>
      </c>
      <c r="H64" s="754">
        <f>F64*G64</f>
        <v>3024000</v>
      </c>
      <c r="I64" s="753">
        <f>H64/$H$97</f>
        <v>1.8863315660484093E-2</v>
      </c>
      <c r="J64" s="775"/>
    </row>
    <row r="65" spans="1:15">
      <c r="B65" s="733"/>
      <c r="C65" s="256" t="s">
        <v>775</v>
      </c>
      <c r="D65" s="256"/>
      <c r="E65" s="733" t="s">
        <v>14</v>
      </c>
      <c r="F65" s="323">
        <f>' ARS 118 '!J30+' ARS 118 '!K32</f>
        <v>6.6</v>
      </c>
      <c r="G65" s="759">
        <v>150000</v>
      </c>
      <c r="H65" s="754"/>
      <c r="I65" s="753"/>
      <c r="J65" s="775"/>
    </row>
    <row r="66" spans="1:15">
      <c r="B66" s="733">
        <v>2</v>
      </c>
      <c r="C66" s="256" t="s">
        <v>381</v>
      </c>
      <c r="D66" s="256"/>
      <c r="E66" s="733" t="s">
        <v>32</v>
      </c>
      <c r="F66" s="323">
        <v>3</v>
      </c>
      <c r="G66" s="759">
        <v>3000000</v>
      </c>
      <c r="H66" s="754">
        <f>F66*G66</f>
        <v>9000000</v>
      </c>
      <c r="I66" s="753">
        <f>H66/$H$97</f>
        <v>5.6140820418107418E-2</v>
      </c>
      <c r="J66" s="775"/>
    </row>
    <row r="67" spans="1:15">
      <c r="A67" s="672"/>
      <c r="B67" s="733">
        <v>3</v>
      </c>
      <c r="C67" s="256" t="s">
        <v>680</v>
      </c>
      <c r="D67" s="256"/>
      <c r="E67" s="733" t="s">
        <v>32</v>
      </c>
      <c r="F67" s="323">
        <v>1</v>
      </c>
      <c r="G67" s="759">
        <v>400000</v>
      </c>
      <c r="H67" s="754">
        <f>F67*G67</f>
        <v>400000</v>
      </c>
      <c r="I67" s="753">
        <f>H67/$H$97</f>
        <v>2.4951475741381074E-3</v>
      </c>
      <c r="J67" s="775"/>
    </row>
    <row r="68" spans="1:15">
      <c r="B68" s="733"/>
      <c r="D68" s="256"/>
      <c r="E68" s="757"/>
      <c r="F68" s="769"/>
      <c r="G68" s="755"/>
      <c r="H68" s="768"/>
      <c r="I68" s="753"/>
      <c r="J68" s="775"/>
    </row>
    <row r="69" spans="1:15">
      <c r="B69" s="752"/>
      <c r="C69" s="751"/>
      <c r="D69" s="750" t="s">
        <v>679</v>
      </c>
      <c r="E69" s="749"/>
      <c r="F69" s="771"/>
      <c r="G69" s="747"/>
      <c r="H69" s="746">
        <f>SUM(H63:H67)</f>
        <v>13978000</v>
      </c>
      <c r="I69" s="745">
        <f>SUM(I63:I68)</f>
        <v>8.7192931978256158E-2</v>
      </c>
      <c r="J69" s="774"/>
    </row>
    <row r="70" spans="1:15">
      <c r="B70" s="766" t="s">
        <v>384</v>
      </c>
      <c r="C70" s="765" t="s">
        <v>678</v>
      </c>
      <c r="D70" s="764"/>
      <c r="E70" s="763"/>
      <c r="F70" s="762"/>
      <c r="G70" s="761"/>
      <c r="H70" s="760"/>
      <c r="I70" s="724"/>
    </row>
    <row r="71" spans="1:15" ht="15">
      <c r="B71" s="733">
        <v>1</v>
      </c>
      <c r="C71" s="256" t="s">
        <v>386</v>
      </c>
      <c r="D71" s="256" t="s">
        <v>676</v>
      </c>
      <c r="E71" s="733" t="s">
        <v>675</v>
      </c>
      <c r="F71" s="323">
        <f>F35</f>
        <v>166.79999999999998</v>
      </c>
      <c r="G71" s="759">
        <f>'[84] RAB'!H378</f>
        <v>27010</v>
      </c>
      <c r="H71" s="754">
        <f>F71*G71</f>
        <v>4505268</v>
      </c>
      <c r="I71" s="753">
        <f>H71/$H$97</f>
        <v>2.8103271302605107E-2</v>
      </c>
    </row>
    <row r="72" spans="1:15" ht="15">
      <c r="B72" s="733">
        <v>2</v>
      </c>
      <c r="C72" s="256" t="s">
        <v>677</v>
      </c>
      <c r="D72" s="256" t="s">
        <v>676</v>
      </c>
      <c r="E72" s="733" t="s">
        <v>675</v>
      </c>
      <c r="F72" s="323"/>
      <c r="G72" s="759">
        <f>'[84] RAB'!H378</f>
        <v>27010</v>
      </c>
      <c r="H72" s="754">
        <f>F72*G72</f>
        <v>0</v>
      </c>
      <c r="I72" s="753">
        <f>H72/$H$97</f>
        <v>0</v>
      </c>
    </row>
    <row r="73" spans="1:15" ht="15">
      <c r="B73" s="757"/>
      <c r="C73" s="758"/>
      <c r="D73" s="758"/>
      <c r="E73" s="757" t="s">
        <v>675</v>
      </c>
      <c r="F73" s="769"/>
      <c r="G73" s="755"/>
      <c r="H73" s="768">
        <f>F73*G73</f>
        <v>0</v>
      </c>
      <c r="I73" s="753">
        <f>H73/$H$97</f>
        <v>0</v>
      </c>
    </row>
    <row r="74" spans="1:15">
      <c r="B74" s="752"/>
      <c r="C74" s="751"/>
      <c r="D74" s="750" t="s">
        <v>674</v>
      </c>
      <c r="E74" s="749"/>
      <c r="F74" s="771"/>
      <c r="G74" s="747"/>
      <c r="H74" s="746">
        <f>SUM(H71:H73)</f>
        <v>4505268</v>
      </c>
      <c r="I74" s="745">
        <f>SUM(I71:I73)</f>
        <v>2.8103271302605107E-2</v>
      </c>
      <c r="J74" s="746"/>
      <c r="K74" s="674"/>
      <c r="L74" s="674"/>
      <c r="O74" s="674">
        <f>H74</f>
        <v>4505268</v>
      </c>
    </row>
    <row r="75" spans="1:15">
      <c r="A75" s="672"/>
      <c r="B75" s="766" t="s">
        <v>389</v>
      </c>
      <c r="C75" s="765" t="s">
        <v>673</v>
      </c>
      <c r="D75" s="764"/>
      <c r="E75" s="763"/>
      <c r="F75" s="762"/>
      <c r="G75" s="761"/>
      <c r="H75" s="760"/>
      <c r="I75" s="724"/>
    </row>
    <row r="76" spans="1:15" ht="15">
      <c r="B76" s="733">
        <v>1</v>
      </c>
      <c r="C76" s="256" t="s">
        <v>672</v>
      </c>
      <c r="D76" s="256" t="s">
        <v>671</v>
      </c>
      <c r="E76" s="733" t="s">
        <v>655</v>
      </c>
      <c r="F76" s="323">
        <v>8</v>
      </c>
      <c r="G76" s="759">
        <v>25000</v>
      </c>
      <c r="H76" s="754">
        <f t="shared" ref="H76:H83" si="0">F76*G76</f>
        <v>200000</v>
      </c>
      <c r="I76" s="753">
        <f t="shared" ref="I76:I83" si="1">H76/$H$97</f>
        <v>1.2475737870690537E-3</v>
      </c>
    </row>
    <row r="77" spans="1:15">
      <c r="B77" s="733">
        <v>2</v>
      </c>
      <c r="C77" s="256" t="s">
        <v>391</v>
      </c>
      <c r="D77" s="256" t="s">
        <v>670</v>
      </c>
      <c r="E77" s="733" t="s">
        <v>392</v>
      </c>
      <c r="F77" s="323"/>
      <c r="G77" s="759">
        <v>200000</v>
      </c>
      <c r="H77" s="754">
        <f t="shared" si="0"/>
        <v>0</v>
      </c>
      <c r="I77" s="753">
        <f t="shared" si="1"/>
        <v>0</v>
      </c>
    </row>
    <row r="78" spans="1:15" ht="15">
      <c r="B78" s="733">
        <v>3</v>
      </c>
      <c r="C78" s="256" t="s">
        <v>578</v>
      </c>
      <c r="D78" s="256"/>
      <c r="E78" s="733" t="s">
        <v>669</v>
      </c>
      <c r="F78" s="323">
        <v>2</v>
      </c>
      <c r="G78" s="759">
        <v>150000</v>
      </c>
      <c r="H78" s="754">
        <f t="shared" si="0"/>
        <v>300000</v>
      </c>
      <c r="I78" s="753">
        <f t="shared" si="1"/>
        <v>1.8713606806035805E-3</v>
      </c>
    </row>
    <row r="79" spans="1:15">
      <c r="B79" s="773">
        <v>4</v>
      </c>
      <c r="C79" s="256" t="s">
        <v>668</v>
      </c>
      <c r="D79" s="256"/>
      <c r="E79" s="733" t="s">
        <v>380</v>
      </c>
      <c r="F79" s="323">
        <v>1</v>
      </c>
      <c r="G79" s="759">
        <v>2000000</v>
      </c>
      <c r="H79" s="754">
        <f t="shared" si="0"/>
        <v>2000000</v>
      </c>
      <c r="I79" s="753">
        <f t="shared" si="1"/>
        <v>1.2475737870690538E-2</v>
      </c>
    </row>
    <row r="80" spans="1:15">
      <c r="B80" s="733">
        <v>5</v>
      </c>
      <c r="C80" s="256" t="s">
        <v>393</v>
      </c>
      <c r="D80" s="256" t="s">
        <v>667</v>
      </c>
      <c r="E80" s="733" t="s">
        <v>392</v>
      </c>
      <c r="F80" s="770"/>
      <c r="G80" s="759">
        <v>65000</v>
      </c>
      <c r="H80" s="754">
        <f t="shared" si="0"/>
        <v>0</v>
      </c>
      <c r="I80" s="753">
        <f t="shared" si="1"/>
        <v>0</v>
      </c>
    </row>
    <row r="81" spans="2:10">
      <c r="B81" s="757">
        <v>6</v>
      </c>
      <c r="C81" s="758" t="s">
        <v>666</v>
      </c>
      <c r="D81" s="758" t="s">
        <v>665</v>
      </c>
      <c r="E81" s="757" t="s">
        <v>392</v>
      </c>
      <c r="F81" s="769"/>
      <c r="G81" s="755">
        <v>2000000</v>
      </c>
      <c r="H81" s="754">
        <f t="shared" si="0"/>
        <v>0</v>
      </c>
      <c r="I81" s="753">
        <f t="shared" si="1"/>
        <v>0</v>
      </c>
    </row>
    <row r="82" spans="2:10">
      <c r="B82" s="757">
        <v>7</v>
      </c>
      <c r="C82" s="758" t="s">
        <v>664</v>
      </c>
      <c r="D82" s="758"/>
      <c r="E82" s="757" t="s">
        <v>392</v>
      </c>
      <c r="F82" s="769"/>
      <c r="G82" s="755">
        <v>2000000</v>
      </c>
      <c r="H82" s="768">
        <f t="shared" si="0"/>
        <v>0</v>
      </c>
      <c r="I82" s="753">
        <f t="shared" si="1"/>
        <v>0</v>
      </c>
    </row>
    <row r="83" spans="2:10" ht="15">
      <c r="B83" s="772">
        <v>8</v>
      </c>
      <c r="C83" s="758" t="s">
        <v>663</v>
      </c>
      <c r="D83" s="758"/>
      <c r="E83" s="733" t="s">
        <v>655</v>
      </c>
      <c r="F83" s="769"/>
      <c r="G83" s="755">
        <v>200000</v>
      </c>
      <c r="H83" s="768">
        <f t="shared" si="0"/>
        <v>0</v>
      </c>
      <c r="I83" s="724">
        <f t="shared" si="1"/>
        <v>0</v>
      </c>
    </row>
    <row r="84" spans="2:10">
      <c r="B84" s="752"/>
      <c r="C84" s="751"/>
      <c r="D84" s="750" t="s">
        <v>662</v>
      </c>
      <c r="E84" s="749"/>
      <c r="F84" s="771"/>
      <c r="G84" s="747"/>
      <c r="H84" s="746">
        <f>SUM(H76:H83)</f>
        <v>2500000</v>
      </c>
      <c r="I84" s="745">
        <f>SUM(I76:I83)</f>
        <v>1.5594672338363171E-2</v>
      </c>
      <c r="J84" s="674"/>
    </row>
    <row r="85" spans="2:10">
      <c r="B85" s="766" t="s">
        <v>395</v>
      </c>
      <c r="C85" s="765" t="s">
        <v>661</v>
      </c>
      <c r="D85" s="764"/>
      <c r="E85" s="763"/>
      <c r="F85" s="762"/>
      <c r="G85" s="761"/>
      <c r="H85" s="760"/>
      <c r="I85" s="724"/>
    </row>
    <row r="86" spans="2:10">
      <c r="B86" s="733">
        <v>1</v>
      </c>
      <c r="C86" s="256" t="s">
        <v>581</v>
      </c>
      <c r="D86" s="256" t="s">
        <v>660</v>
      </c>
      <c r="E86" s="733" t="s">
        <v>398</v>
      </c>
      <c r="F86" s="323">
        <v>8</v>
      </c>
      <c r="G86" s="759">
        <v>300000</v>
      </c>
      <c r="H86" s="754">
        <f>F86*G86</f>
        <v>2400000</v>
      </c>
      <c r="I86" s="753">
        <f>H86/$H$97</f>
        <v>1.4970885444828644E-2</v>
      </c>
    </row>
    <row r="87" spans="2:10">
      <c r="B87" s="733">
        <v>2</v>
      </c>
      <c r="C87" s="256" t="s">
        <v>582</v>
      </c>
      <c r="D87" s="256" t="s">
        <v>659</v>
      </c>
      <c r="E87" s="733" t="s">
        <v>398</v>
      </c>
      <c r="F87" s="323">
        <v>3</v>
      </c>
      <c r="G87" s="759">
        <v>170000</v>
      </c>
      <c r="H87" s="754">
        <f>F87*G87</f>
        <v>510000</v>
      </c>
      <c r="I87" s="753">
        <f>H87/$H$97</f>
        <v>3.1813131570260869E-3</v>
      </c>
    </row>
    <row r="88" spans="2:10">
      <c r="B88" s="733">
        <v>3</v>
      </c>
      <c r="C88" s="256" t="s">
        <v>583</v>
      </c>
      <c r="D88" s="256" t="s">
        <v>658</v>
      </c>
      <c r="E88" s="733" t="s">
        <v>380</v>
      </c>
      <c r="F88" s="323">
        <v>1</v>
      </c>
      <c r="G88" s="759">
        <v>350000</v>
      </c>
      <c r="H88" s="754">
        <f>F88*G88</f>
        <v>350000</v>
      </c>
      <c r="I88" s="753">
        <f>H88/$H$97</f>
        <v>2.1832541273708438E-3</v>
      </c>
    </row>
    <row r="89" spans="2:10" ht="15">
      <c r="B89" s="733">
        <v>4</v>
      </c>
      <c r="C89" s="256" t="s">
        <v>657</v>
      </c>
      <c r="D89" s="256" t="s">
        <v>656</v>
      </c>
      <c r="E89" s="733" t="s">
        <v>655</v>
      </c>
      <c r="F89" s="323">
        <v>1</v>
      </c>
      <c r="G89" s="759">
        <v>70000</v>
      </c>
      <c r="H89" s="754">
        <f>F89*G89</f>
        <v>70000</v>
      </c>
      <c r="I89" s="753">
        <f>H89/$H$97</f>
        <v>4.366508254741688E-4</v>
      </c>
    </row>
    <row r="90" spans="2:10">
      <c r="B90" s="757">
        <v>5</v>
      </c>
      <c r="C90" s="758" t="s">
        <v>654</v>
      </c>
      <c r="D90" s="758" t="s">
        <v>653</v>
      </c>
      <c r="E90" s="757"/>
      <c r="F90" s="769"/>
      <c r="G90" s="755"/>
      <c r="H90" s="768"/>
      <c r="I90" s="724"/>
    </row>
    <row r="91" spans="2:10">
      <c r="B91" s="752"/>
      <c r="C91" s="751" t="s">
        <v>652</v>
      </c>
      <c r="D91" s="750" t="s">
        <v>651</v>
      </c>
      <c r="E91" s="749"/>
      <c r="F91" s="767"/>
      <c r="G91" s="747"/>
      <c r="H91" s="746">
        <f>SUM(H86:H90)</f>
        <v>3330000</v>
      </c>
      <c r="I91" s="745">
        <f>SUM(I86:I90)</f>
        <v>2.0772103554699741E-2</v>
      </c>
      <c r="J91" s="674"/>
    </row>
    <row r="92" spans="2:10">
      <c r="B92" s="766" t="s">
        <v>404</v>
      </c>
      <c r="C92" s="765" t="s">
        <v>650</v>
      </c>
      <c r="D92" s="764"/>
      <c r="E92" s="763"/>
      <c r="F92" s="762"/>
      <c r="G92" s="761"/>
      <c r="H92" s="760"/>
      <c r="I92" s="724"/>
    </row>
    <row r="93" spans="2:10">
      <c r="B93" s="733">
        <v>1</v>
      </c>
      <c r="C93" s="256" t="s">
        <v>778</v>
      </c>
      <c r="D93" s="256" t="s">
        <v>649</v>
      </c>
      <c r="E93" s="733" t="s">
        <v>380</v>
      </c>
      <c r="F93" s="323">
        <v>1</v>
      </c>
      <c r="G93" s="759">
        <v>300000</v>
      </c>
      <c r="H93" s="754">
        <f>F93*G93</f>
        <v>300000</v>
      </c>
      <c r="I93" s="753">
        <f>H93/$H$97</f>
        <v>1.8713606806035805E-3</v>
      </c>
    </row>
    <row r="94" spans="2:10">
      <c r="B94" s="733">
        <v>2</v>
      </c>
      <c r="C94" s="256" t="s">
        <v>408</v>
      </c>
      <c r="D94" s="758"/>
      <c r="E94" s="757"/>
      <c r="F94" s="756">
        <v>2</v>
      </c>
      <c r="G94" s="755">
        <v>80000</v>
      </c>
      <c r="H94" s="754">
        <f>F94*G94</f>
        <v>160000</v>
      </c>
      <c r="I94" s="753">
        <f>H94/$H$97</f>
        <v>9.9805902965524303E-4</v>
      </c>
    </row>
    <row r="95" spans="2:10">
      <c r="B95" s="733">
        <f>B94+1</f>
        <v>3</v>
      </c>
      <c r="C95" s="758" t="s">
        <v>409</v>
      </c>
      <c r="D95" s="758"/>
      <c r="E95" s="757"/>
      <c r="F95" s="756">
        <v>1</v>
      </c>
      <c r="G95" s="755">
        <v>150000</v>
      </c>
      <c r="H95" s="754">
        <f>F95*G95</f>
        <v>150000</v>
      </c>
      <c r="I95" s="753">
        <f>H95/$H$97</f>
        <v>9.3568034030179026E-4</v>
      </c>
    </row>
    <row r="96" spans="2:10">
      <c r="B96" s="752"/>
      <c r="C96" s="751"/>
      <c r="D96" s="750" t="s">
        <v>648</v>
      </c>
      <c r="E96" s="749"/>
      <c r="F96" s="748"/>
      <c r="G96" s="747"/>
      <c r="H96" s="746">
        <f>SUM(H93:H95)</f>
        <v>610000</v>
      </c>
      <c r="I96" s="745">
        <f>SUM(I92:I95)</f>
        <v>3.8051000505606139E-3</v>
      </c>
      <c r="J96" s="674"/>
    </row>
    <row r="97" spans="2:10">
      <c r="B97" s="737"/>
      <c r="C97" s="738" t="s">
        <v>647</v>
      </c>
      <c r="D97" s="737"/>
      <c r="E97" s="737"/>
      <c r="F97" s="744"/>
      <c r="G97" s="743"/>
      <c r="H97" s="742">
        <f>SUM(H10:H96)/2</f>
        <v>160311159.20595238</v>
      </c>
      <c r="I97" s="741">
        <f>SUM(I10:I96)/2</f>
        <v>0.99999999999999956</v>
      </c>
      <c r="J97" s="674"/>
    </row>
    <row r="98" spans="2:10">
      <c r="B98" s="256"/>
      <c r="C98" s="256" t="s">
        <v>646</v>
      </c>
      <c r="D98" s="256"/>
      <c r="E98" s="733"/>
      <c r="F98" s="732"/>
      <c r="G98" s="731"/>
      <c r="H98" s="730"/>
      <c r="I98" s="724"/>
    </row>
    <row r="99" spans="2:10">
      <c r="B99" s="256"/>
      <c r="C99" s="256" t="s">
        <v>645</v>
      </c>
      <c r="D99" s="256"/>
      <c r="E99" s="733"/>
      <c r="F99" s="732"/>
      <c r="G99" s="731"/>
      <c r="H99" s="730"/>
      <c r="I99" s="724"/>
    </row>
    <row r="100" spans="2:10">
      <c r="B100" s="256"/>
      <c r="C100" s="256" t="s">
        <v>644</v>
      </c>
      <c r="D100" s="256"/>
      <c r="E100" s="733"/>
      <c r="F100" s="732"/>
      <c r="G100" s="731"/>
      <c r="H100" s="740"/>
      <c r="I100" s="724"/>
    </row>
    <row r="101" spans="2:10">
      <c r="B101" s="256"/>
      <c r="C101" s="256" t="s">
        <v>643</v>
      </c>
      <c r="D101" s="256"/>
      <c r="E101" s="733"/>
      <c r="F101" s="732"/>
      <c r="G101" s="731"/>
      <c r="H101" s="730"/>
      <c r="I101" s="724"/>
    </row>
    <row r="102" spans="2:10">
      <c r="B102" s="729"/>
      <c r="C102" s="729" t="s">
        <v>642</v>
      </c>
      <c r="D102" s="729"/>
      <c r="E102" s="728"/>
      <c r="F102" s="727"/>
      <c r="G102" s="726"/>
      <c r="H102" s="739"/>
      <c r="I102" s="724"/>
    </row>
    <row r="103" spans="2:10">
      <c r="B103" s="738"/>
      <c r="C103" s="738"/>
      <c r="D103" s="738"/>
      <c r="E103" s="737"/>
      <c r="F103" s="736"/>
      <c r="G103" s="735"/>
      <c r="H103" s="734"/>
      <c r="I103" s="724"/>
    </row>
    <row r="104" spans="2:10">
      <c r="B104" s="256"/>
      <c r="C104" s="256" t="s">
        <v>641</v>
      </c>
      <c r="D104" s="256"/>
      <c r="E104" s="733"/>
      <c r="F104" s="732"/>
      <c r="G104" s="731"/>
      <c r="H104" s="730">
        <v>32</v>
      </c>
      <c r="I104" s="724"/>
    </row>
    <row r="105" spans="2:10">
      <c r="B105" s="729"/>
      <c r="C105" s="729" t="s">
        <v>640</v>
      </c>
      <c r="D105" s="729"/>
      <c r="E105" s="728"/>
      <c r="F105" s="727"/>
      <c r="G105" s="726"/>
      <c r="H105" s="725">
        <f>H97/H104</f>
        <v>5009723.7251860118</v>
      </c>
      <c r="I105" s="724"/>
    </row>
    <row r="106" spans="2:10">
      <c r="F106" s="723"/>
      <c r="G106" s="722"/>
      <c r="H106" s="721"/>
      <c r="I106" s="720"/>
    </row>
    <row r="107" spans="2:10">
      <c r="F107" s="723"/>
      <c r="G107" s="722"/>
      <c r="H107" s="721"/>
      <c r="I107" s="720"/>
    </row>
    <row r="108" spans="2:10">
      <c r="F108" s="723"/>
      <c r="G108" s="722"/>
      <c r="H108" s="721"/>
      <c r="I108" s="720"/>
    </row>
    <row r="109" spans="2:10">
      <c r="F109" s="723"/>
      <c r="G109" s="722"/>
      <c r="H109" s="721"/>
      <c r="I109" s="720"/>
    </row>
    <row r="110" spans="2:10">
      <c r="F110" s="723"/>
      <c r="G110" s="722"/>
      <c r="H110" s="721"/>
      <c r="I110" s="720"/>
    </row>
    <row r="111" spans="2:10">
      <c r="F111" s="723"/>
      <c r="G111" s="722"/>
      <c r="H111" s="721"/>
      <c r="I111" s="720"/>
    </row>
    <row r="113" spans="5:8">
      <c r="E113" s="658" t="s">
        <v>411</v>
      </c>
      <c r="H113" s="719"/>
    </row>
    <row r="114" spans="5:8">
      <c r="E114" s="658"/>
      <c r="H114" s="674"/>
    </row>
    <row r="115" spans="5:8">
      <c r="E115" s="371" t="s">
        <v>412</v>
      </c>
      <c r="H115" s="718"/>
    </row>
    <row r="116" spans="5:8">
      <c r="E116" s="658"/>
    </row>
    <row r="121" spans="5:8">
      <c r="E121" s="717"/>
    </row>
  </sheetData>
  <mergeCells count="7">
    <mergeCell ref="I6:I7"/>
    <mergeCell ref="B6:B7"/>
    <mergeCell ref="C6:C7"/>
    <mergeCell ref="D6:D7"/>
    <mergeCell ref="E6:E7"/>
    <mergeCell ref="F6:F7"/>
    <mergeCell ref="G6:G7"/>
  </mergeCells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8EEAE-F942-4AF0-96C4-72291186C8CA}">
  <dimension ref="A1:N303"/>
  <sheetViews>
    <sheetView topLeftCell="A67" zoomScale="85" zoomScaleNormal="85" workbookViewId="0">
      <selection activeCell="H95" sqref="H95"/>
    </sheetView>
  </sheetViews>
  <sheetFormatPr defaultColWidth="9" defaultRowHeight="15"/>
  <cols>
    <col min="1" max="1" width="6.7109375" style="226" customWidth="1"/>
    <col min="2" max="2" width="9.7109375" style="223" customWidth="1"/>
    <col min="3" max="3" width="39" style="223" customWidth="1"/>
    <col min="4" max="4" width="12.7109375" style="223" customWidth="1"/>
    <col min="5" max="5" width="9" style="223"/>
    <col min="6" max="6" width="12.85546875" style="223" customWidth="1"/>
    <col min="7" max="7" width="17.7109375" style="223" customWidth="1"/>
    <col min="8" max="8" width="17.140625" style="223" customWidth="1"/>
    <col min="9" max="9" width="11.85546875" style="223" customWidth="1"/>
    <col min="10" max="10" width="11.5703125" style="223" bestFit="1" customWidth="1"/>
    <col min="11" max="11" width="9" style="223"/>
    <col min="12" max="12" width="11.5703125" style="223" customWidth="1"/>
    <col min="13" max="13" width="10.28515625" style="485" customWidth="1"/>
    <col min="14" max="14" width="14.140625" style="226" customWidth="1"/>
    <col min="15" max="16384" width="9" style="226"/>
  </cols>
  <sheetData>
    <row r="1" spans="1:13">
      <c r="A1" s="222" t="s">
        <v>188</v>
      </c>
    </row>
    <row r="2" spans="1:13">
      <c r="A2" s="222"/>
    </row>
    <row r="3" spans="1:13">
      <c r="A3" s="222"/>
    </row>
    <row r="4" spans="1:13">
      <c r="A4" s="224" t="s">
        <v>11</v>
      </c>
      <c r="B4" s="225" t="s">
        <v>190</v>
      </c>
    </row>
    <row r="5" spans="1:13">
      <c r="B5" s="223">
        <v>2</v>
      </c>
      <c r="C5" s="225">
        <v>12</v>
      </c>
      <c r="D5" s="223">
        <f>C5*B5</f>
        <v>24</v>
      </c>
    </row>
    <row r="6" spans="1:13">
      <c r="B6" s="223">
        <v>2</v>
      </c>
      <c r="C6" s="225">
        <v>20</v>
      </c>
      <c r="D6" s="223">
        <f>C6*B6</f>
        <v>40</v>
      </c>
    </row>
    <row r="7" spans="1:13">
      <c r="C7" s="225"/>
      <c r="E7" s="227">
        <f>SUM(D5:D6)</f>
        <v>64</v>
      </c>
    </row>
    <row r="8" spans="1:13" ht="17.25">
      <c r="A8" s="224" t="s">
        <v>12</v>
      </c>
      <c r="B8" s="228" t="s">
        <v>191</v>
      </c>
      <c r="C8" s="229"/>
    </row>
    <row r="10" spans="1:13">
      <c r="A10" s="226">
        <v>1</v>
      </c>
      <c r="B10" s="223" t="s">
        <v>192</v>
      </c>
      <c r="F10" s="223" t="s">
        <v>414</v>
      </c>
    </row>
    <row r="11" spans="1:13">
      <c r="D11" s="230" t="s">
        <v>193</v>
      </c>
      <c r="E11" s="230" t="s">
        <v>194</v>
      </c>
      <c r="F11" s="230" t="s">
        <v>195</v>
      </c>
      <c r="G11" s="230"/>
      <c r="H11" s="230"/>
    </row>
    <row r="12" spans="1:13">
      <c r="B12" s="231" t="s">
        <v>165</v>
      </c>
      <c r="C12" s="232" t="s">
        <v>757</v>
      </c>
      <c r="D12" s="486">
        <v>30.5</v>
      </c>
      <c r="F12" s="304"/>
      <c r="I12" s="223">
        <f>F12*E12*D12</f>
        <v>0</v>
      </c>
    </row>
    <row r="13" spans="1:13">
      <c r="B13" s="231" t="s">
        <v>199</v>
      </c>
      <c r="C13" s="232" t="s">
        <v>201</v>
      </c>
      <c r="D13" s="486">
        <v>4.5999999999999996</v>
      </c>
      <c r="F13" s="304"/>
    </row>
    <row r="14" spans="1:13">
      <c r="B14" s="231" t="s">
        <v>202</v>
      </c>
      <c r="C14" s="232" t="s">
        <v>757</v>
      </c>
      <c r="D14" s="486">
        <v>11.5</v>
      </c>
      <c r="F14" s="304"/>
      <c r="I14" s="223">
        <f>F14*E14*D14</f>
        <v>0</v>
      </c>
    </row>
    <row r="15" spans="1:13">
      <c r="B15" s="231" t="s">
        <v>416</v>
      </c>
      <c r="C15" s="232" t="s">
        <v>757</v>
      </c>
      <c r="D15" s="486">
        <v>25.7</v>
      </c>
      <c r="I15" s="223">
        <f>F15*E15*D15</f>
        <v>0</v>
      </c>
    </row>
    <row r="16" spans="1:13" s="223" customFormat="1">
      <c r="A16" s="226"/>
      <c r="B16" s="254"/>
      <c r="C16" s="232"/>
      <c r="D16" s="486"/>
      <c r="F16" s="304"/>
      <c r="M16" s="485"/>
    </row>
    <row r="17" spans="1:14" s="223" customFormat="1">
      <c r="A17" s="226"/>
      <c r="B17" s="254" t="s">
        <v>63</v>
      </c>
      <c r="C17" s="232" t="s">
        <v>757</v>
      </c>
      <c r="D17" s="487">
        <v>8.3000000000000007</v>
      </c>
      <c r="F17" s="488"/>
      <c r="I17" s="223">
        <f>F17*E17*D17</f>
        <v>0</v>
      </c>
      <c r="M17" s="485"/>
    </row>
    <row r="18" spans="1:14" s="223" customFormat="1">
      <c r="A18" s="226"/>
      <c r="B18" s="254" t="s">
        <v>859</v>
      </c>
      <c r="C18" s="232" t="s">
        <v>201</v>
      </c>
      <c r="D18" s="223">
        <v>9.6</v>
      </c>
      <c r="M18" s="485"/>
    </row>
    <row r="19" spans="1:14" s="223" customFormat="1">
      <c r="A19" s="226"/>
      <c r="B19" s="254" t="s">
        <v>858</v>
      </c>
      <c r="C19" s="232" t="s">
        <v>198</v>
      </c>
      <c r="D19" s="223">
        <v>6</v>
      </c>
      <c r="E19" s="232"/>
      <c r="F19" s="488"/>
      <c r="M19" s="485"/>
    </row>
    <row r="20" spans="1:14" s="223" customFormat="1">
      <c r="A20" s="226"/>
      <c r="B20" s="254" t="s">
        <v>11</v>
      </c>
      <c r="C20" s="232" t="s">
        <v>757</v>
      </c>
      <c r="D20" s="486">
        <v>30.5</v>
      </c>
      <c r="F20" s="488"/>
      <c r="M20" s="485"/>
    </row>
    <row r="21" spans="1:14" s="223" customFormat="1">
      <c r="A21" s="226"/>
      <c r="B21" s="254"/>
      <c r="C21" s="232"/>
      <c r="F21" s="488"/>
      <c r="M21" s="485"/>
    </row>
    <row r="22" spans="1:14" s="223" customFormat="1">
      <c r="A22" s="226"/>
      <c r="B22" s="245">
        <v>1</v>
      </c>
      <c r="C22" s="232" t="s">
        <v>857</v>
      </c>
      <c r="D22" s="223">
        <v>48</v>
      </c>
      <c r="F22" s="488"/>
      <c r="I22" s="223">
        <f>F22*E22*D22</f>
        <v>0</v>
      </c>
      <c r="M22" s="485"/>
    </row>
    <row r="23" spans="1:14" s="223" customFormat="1">
      <c r="A23" s="226"/>
      <c r="B23" s="245"/>
      <c r="C23" s="232"/>
      <c r="D23" s="223">
        <v>14</v>
      </c>
      <c r="F23" s="488"/>
      <c r="M23" s="485"/>
    </row>
    <row r="24" spans="1:14" s="223" customFormat="1">
      <c r="A24" s="226"/>
      <c r="B24" s="245">
        <v>2</v>
      </c>
      <c r="C24" s="232"/>
      <c r="D24" s="223">
        <v>38</v>
      </c>
      <c r="F24" s="488"/>
      <c r="M24" s="485"/>
    </row>
    <row r="25" spans="1:14" s="223" customFormat="1">
      <c r="A25" s="226"/>
      <c r="B25" s="245"/>
      <c r="C25" s="232"/>
      <c r="D25" s="223">
        <v>36</v>
      </c>
      <c r="F25" s="488"/>
      <c r="M25" s="485"/>
    </row>
    <row r="26" spans="1:14" s="223" customFormat="1">
      <c r="A26" s="226"/>
      <c r="B26" s="245">
        <v>3</v>
      </c>
      <c r="C26" s="232"/>
      <c r="D26" s="223">
        <v>42</v>
      </c>
      <c r="M26" s="485"/>
    </row>
    <row r="27" spans="1:14" s="223" customFormat="1">
      <c r="A27" s="226"/>
      <c r="B27" s="245">
        <v>4</v>
      </c>
      <c r="C27" s="232"/>
      <c r="D27" s="223">
        <v>14</v>
      </c>
      <c r="M27" s="485"/>
    </row>
    <row r="28" spans="1:14" s="223" customFormat="1" ht="21.75" customHeight="1">
      <c r="A28" s="226"/>
      <c r="B28" s="254">
        <v>5</v>
      </c>
      <c r="C28" s="232"/>
      <c r="D28" s="223">
        <v>12</v>
      </c>
      <c r="I28" s="257" t="s">
        <v>856</v>
      </c>
      <c r="J28" s="258">
        <f>1*0.3*0.7</f>
        <v>0.21</v>
      </c>
      <c r="K28" s="259" t="s">
        <v>215</v>
      </c>
      <c r="L28" s="260"/>
      <c r="M28" s="261"/>
      <c r="N28" s="284"/>
    </row>
    <row r="29" spans="1:14" s="223" customFormat="1" ht="18" customHeight="1">
      <c r="A29" s="226"/>
      <c r="B29" s="254">
        <v>6</v>
      </c>
      <c r="C29" s="232"/>
      <c r="D29" s="223">
        <v>36</v>
      </c>
      <c r="I29" s="266" t="s">
        <v>234</v>
      </c>
      <c r="J29" s="267"/>
      <c r="K29" s="268"/>
      <c r="L29" s="269"/>
      <c r="M29" s="269"/>
      <c r="N29" s="284"/>
    </row>
    <row r="30" spans="1:14" s="223" customFormat="1" ht="19.5" customHeight="1">
      <c r="A30" s="226"/>
      <c r="B30" s="254"/>
      <c r="C30" s="232"/>
      <c r="G30" s="223">
        <f>SUM(D12:D29)</f>
        <v>366.7</v>
      </c>
      <c r="I30" s="266" t="s">
        <v>219</v>
      </c>
      <c r="J30" s="267">
        <f>J28*6</f>
        <v>1.26</v>
      </c>
      <c r="K30" s="268" t="s">
        <v>220</v>
      </c>
      <c r="L30" s="269">
        <v>55000</v>
      </c>
      <c r="M30" s="269">
        <f t="shared" ref="M30:M41" si="0">L30*J30</f>
        <v>69300</v>
      </c>
      <c r="N30" s="284"/>
    </row>
    <row r="31" spans="1:14" s="223" customFormat="1" ht="18.75" customHeight="1">
      <c r="A31" s="226"/>
      <c r="B31" s="922" t="s">
        <v>770</v>
      </c>
      <c r="C31" s="232"/>
      <c r="D31" s="223">
        <v>14</v>
      </c>
      <c r="E31" s="223">
        <v>2</v>
      </c>
      <c r="F31" s="223">
        <f>E31*D31</f>
        <v>28</v>
      </c>
      <c r="I31" s="266" t="s">
        <v>222</v>
      </c>
      <c r="J31" s="267">
        <f>J28*0.54</f>
        <v>0.1134</v>
      </c>
      <c r="K31" s="268" t="s">
        <v>215</v>
      </c>
      <c r="L31" s="269">
        <v>380000</v>
      </c>
      <c r="M31" s="269">
        <f t="shared" si="0"/>
        <v>43092</v>
      </c>
      <c r="N31" s="284"/>
    </row>
    <row r="32" spans="1:14" s="223" customFormat="1" ht="18.75" customHeight="1">
      <c r="A32" s="226"/>
      <c r="B32" s="922" t="s">
        <v>769</v>
      </c>
      <c r="C32" s="232"/>
      <c r="D32" s="223">
        <v>21.2</v>
      </c>
      <c r="E32" s="223">
        <v>2</v>
      </c>
      <c r="F32" s="223">
        <f>E32*D32</f>
        <v>42.4</v>
      </c>
      <c r="I32" s="266" t="s">
        <v>224</v>
      </c>
      <c r="J32" s="267">
        <f>J28*0.82</f>
        <v>0.17219999999999999</v>
      </c>
      <c r="K32" s="268" t="s">
        <v>215</v>
      </c>
      <c r="L32" s="269">
        <v>280000</v>
      </c>
      <c r="M32" s="269">
        <f t="shared" si="0"/>
        <v>48216</v>
      </c>
      <c r="N32" s="284"/>
    </row>
    <row r="33" spans="1:14" s="223" customFormat="1" ht="18.75" customHeight="1">
      <c r="A33" s="226"/>
      <c r="B33" s="922"/>
      <c r="C33" s="232"/>
      <c r="D33" s="223">
        <v>24</v>
      </c>
      <c r="E33" s="223">
        <v>1</v>
      </c>
      <c r="F33" s="223">
        <f>E33*D33</f>
        <v>24</v>
      </c>
      <c r="I33" s="266" t="s">
        <v>226</v>
      </c>
      <c r="J33" s="267">
        <v>1</v>
      </c>
      <c r="K33" s="268" t="s">
        <v>20</v>
      </c>
      <c r="L33" s="269">
        <v>100000</v>
      </c>
      <c r="M33" s="269">
        <f t="shared" si="0"/>
        <v>100000</v>
      </c>
      <c r="N33" s="284"/>
    </row>
    <row r="34" spans="1:14" s="223" customFormat="1" ht="18.75" customHeight="1">
      <c r="A34" s="226"/>
      <c r="B34" s="922"/>
      <c r="C34" s="232"/>
      <c r="D34" s="223">
        <v>42</v>
      </c>
      <c r="E34" s="223">
        <v>1</v>
      </c>
      <c r="F34" s="223">
        <f>E34*D34</f>
        <v>42</v>
      </c>
      <c r="I34" s="266" t="s">
        <v>239</v>
      </c>
      <c r="J34" s="267">
        <v>1.2</v>
      </c>
      <c r="K34" s="268" t="s">
        <v>20</v>
      </c>
      <c r="L34" s="269">
        <v>42000</v>
      </c>
      <c r="M34" s="269">
        <f t="shared" si="0"/>
        <v>50400</v>
      </c>
      <c r="N34" s="284"/>
    </row>
    <row r="35" spans="1:14" s="223" customFormat="1" ht="18.75" customHeight="1">
      <c r="A35" s="226"/>
      <c r="B35" s="922"/>
      <c r="C35" s="232"/>
      <c r="G35" s="223">
        <f>SUM(F31:F34)</f>
        <v>136.4</v>
      </c>
      <c r="I35" s="266" t="s">
        <v>240</v>
      </c>
      <c r="J35" s="267">
        <v>0.6</v>
      </c>
      <c r="K35" s="268" t="s">
        <v>241</v>
      </c>
      <c r="L35" s="269">
        <v>100000</v>
      </c>
      <c r="M35" s="269">
        <f t="shared" si="0"/>
        <v>60000</v>
      </c>
      <c r="N35" s="284"/>
    </row>
    <row r="36" spans="1:14" s="223" customFormat="1" ht="19.5" customHeight="1">
      <c r="A36" s="226"/>
      <c r="B36" s="254"/>
      <c r="C36" s="921" t="s">
        <v>855</v>
      </c>
      <c r="D36" s="227"/>
      <c r="G36" s="223" t="s">
        <v>254</v>
      </c>
      <c r="H36" s="223">
        <f>SUM(G30:G35)</f>
        <v>503.1</v>
      </c>
      <c r="I36" s="266" t="s">
        <v>242</v>
      </c>
      <c r="J36" s="267">
        <f>J28*2.5</f>
        <v>0.52500000000000002</v>
      </c>
      <c r="K36" s="268" t="s">
        <v>17</v>
      </c>
      <c r="L36" s="269">
        <v>20000</v>
      </c>
      <c r="M36" s="269">
        <f t="shared" si="0"/>
        <v>10500</v>
      </c>
      <c r="N36" s="284"/>
    </row>
    <row r="37" spans="1:14" s="223" customFormat="1" ht="18" customHeight="1">
      <c r="A37" s="226"/>
      <c r="B37" s="254"/>
      <c r="C37" s="232"/>
      <c r="E37" s="223" t="s">
        <v>429</v>
      </c>
      <c r="F37" s="223" t="s">
        <v>195</v>
      </c>
      <c r="G37" s="223" t="s">
        <v>268</v>
      </c>
      <c r="I37" s="266" t="s">
        <v>243</v>
      </c>
      <c r="J37" s="267">
        <v>0.03</v>
      </c>
      <c r="K37" s="268" t="s">
        <v>15</v>
      </c>
      <c r="L37" s="269">
        <v>2500000</v>
      </c>
      <c r="M37" s="269">
        <f t="shared" si="0"/>
        <v>75000</v>
      </c>
      <c r="N37" s="284"/>
    </row>
    <row r="38" spans="1:14" s="223" customFormat="1" ht="19.5" customHeight="1">
      <c r="A38" s="226"/>
      <c r="B38" s="245"/>
      <c r="C38" s="232" t="s">
        <v>207</v>
      </c>
      <c r="D38" s="223" t="s">
        <v>430</v>
      </c>
      <c r="E38" s="235"/>
      <c r="I38" s="266" t="s">
        <v>244</v>
      </c>
      <c r="J38" s="267">
        <f>J28*2</f>
        <v>0.42</v>
      </c>
      <c r="K38" s="268" t="s">
        <v>17</v>
      </c>
      <c r="L38" s="269">
        <v>18000</v>
      </c>
      <c r="M38" s="269">
        <f t="shared" si="0"/>
        <v>7560</v>
      </c>
      <c r="N38" s="284"/>
    </row>
    <row r="39" spans="1:14" s="223" customFormat="1" ht="16.5" customHeight="1">
      <c r="A39" s="226"/>
      <c r="B39" s="245"/>
      <c r="C39" s="232" t="s">
        <v>431</v>
      </c>
      <c r="E39" s="235"/>
      <c r="H39" s="235"/>
      <c r="I39" s="266" t="s">
        <v>245</v>
      </c>
      <c r="J39" s="280">
        <f>0.3*0.12*3</f>
        <v>0.10799999999999998</v>
      </c>
      <c r="K39" s="281" t="s">
        <v>14</v>
      </c>
      <c r="L39" s="282">
        <v>20000</v>
      </c>
      <c r="M39" s="282">
        <f t="shared" si="0"/>
        <v>2159.9999999999995</v>
      </c>
      <c r="N39" s="284"/>
    </row>
    <row r="40" spans="1:14" s="223" customFormat="1" ht="15.75">
      <c r="A40" s="226"/>
      <c r="B40" s="245"/>
      <c r="C40" s="232" t="s">
        <v>432</v>
      </c>
      <c r="E40" s="235"/>
      <c r="H40" s="235"/>
      <c r="I40" s="266" t="s">
        <v>228</v>
      </c>
      <c r="J40" s="280">
        <f>(12.5*J33)+(4.73*J34)</f>
        <v>18.176000000000002</v>
      </c>
      <c r="K40" s="281" t="s">
        <v>17</v>
      </c>
      <c r="L40" s="292">
        <v>3000</v>
      </c>
      <c r="M40" s="282">
        <f t="shared" si="0"/>
        <v>54528.000000000007</v>
      </c>
      <c r="N40" s="284"/>
    </row>
    <row r="41" spans="1:14" s="223" customFormat="1" ht="18">
      <c r="A41" s="226"/>
      <c r="B41" s="245"/>
      <c r="C41" s="232" t="s">
        <v>433</v>
      </c>
      <c r="E41" s="235"/>
      <c r="H41" s="235"/>
      <c r="I41" s="279" t="s">
        <v>229</v>
      </c>
      <c r="J41" s="280">
        <f>J28*1</f>
        <v>0.21</v>
      </c>
      <c r="K41" s="281" t="s">
        <v>215</v>
      </c>
      <c r="L41" s="292">
        <v>300000</v>
      </c>
      <c r="M41" s="282">
        <f t="shared" si="0"/>
        <v>63000</v>
      </c>
      <c r="N41" s="284"/>
    </row>
    <row r="42" spans="1:14" s="223" customFormat="1" ht="15.75">
      <c r="A42" s="226"/>
      <c r="B42" s="245"/>
      <c r="E42" s="235"/>
      <c r="H42" s="235"/>
      <c r="I42" s="1146" t="s">
        <v>246</v>
      </c>
      <c r="J42" s="1147"/>
      <c r="K42" s="1147"/>
      <c r="L42" s="1147"/>
      <c r="M42" s="294">
        <f>SUM(M30:M41)</f>
        <v>583756</v>
      </c>
      <c r="N42" s="284">
        <f>M42/J28</f>
        <v>2779790.4761904762</v>
      </c>
    </row>
    <row r="43" spans="1:14" s="223" customFormat="1" ht="15.75">
      <c r="A43" s="226"/>
      <c r="B43" s="245"/>
      <c r="C43" s="232" t="s">
        <v>435</v>
      </c>
      <c r="E43" s="235"/>
      <c r="H43" s="235"/>
      <c r="M43" s="485"/>
    </row>
    <row r="44" spans="1:14" s="223" customFormat="1" ht="15.75">
      <c r="A44" s="226"/>
      <c r="B44" s="245"/>
      <c r="C44" s="232" t="s">
        <v>436</v>
      </c>
      <c r="E44" s="235"/>
      <c r="H44" s="235"/>
      <c r="M44" s="485"/>
    </row>
    <row r="45" spans="1:14" s="223" customFormat="1" ht="15.75">
      <c r="A45" s="226"/>
      <c r="B45" s="245"/>
      <c r="C45" s="232" t="s">
        <v>437</v>
      </c>
      <c r="E45" s="235"/>
      <c r="H45" s="235"/>
      <c r="M45" s="485"/>
    </row>
    <row r="46" spans="1:14" s="223" customFormat="1" ht="15.75">
      <c r="A46" s="226"/>
      <c r="B46" s="245"/>
      <c r="C46" s="232" t="s">
        <v>438</v>
      </c>
      <c r="E46" s="235"/>
      <c r="H46" s="235"/>
      <c r="M46" s="485"/>
    </row>
    <row r="47" spans="1:14" s="223" customFormat="1" ht="15.75">
      <c r="A47" s="226"/>
      <c r="B47" s="245"/>
      <c r="C47" s="232"/>
      <c r="E47" s="235"/>
      <c r="H47" s="235"/>
      <c r="M47" s="485"/>
    </row>
    <row r="48" spans="1:14" s="223" customFormat="1" ht="15.75">
      <c r="A48" s="226"/>
      <c r="B48" s="245"/>
      <c r="C48" s="237"/>
      <c r="D48" s="265"/>
      <c r="M48" s="485"/>
    </row>
    <row r="49" spans="1:13" s="223" customFormat="1">
      <c r="A49" s="226"/>
      <c r="B49" s="245"/>
      <c r="C49" s="226"/>
      <c r="D49" s="226"/>
      <c r="E49" s="226"/>
      <c r="F49" s="226"/>
      <c r="G49" s="226"/>
      <c r="H49" s="226"/>
      <c r="M49" s="485"/>
    </row>
    <row r="50" spans="1:13" s="223" customFormat="1">
      <c r="A50" s="226"/>
      <c r="B50" s="245"/>
      <c r="C50" s="245"/>
      <c r="F50" s="322"/>
      <c r="M50" s="485"/>
    </row>
    <row r="51" spans="1:13" s="223" customFormat="1">
      <c r="A51" s="226"/>
      <c r="B51" s="245"/>
      <c r="C51" s="555" t="s">
        <v>854</v>
      </c>
      <c r="D51" s="383"/>
      <c r="E51" s="384">
        <f>528.5/12</f>
        <v>44.041666666666664</v>
      </c>
      <c r="F51" s="374">
        <f>D52*14000</f>
        <v>6160000</v>
      </c>
      <c r="G51" s="374">
        <f>F51*E51</f>
        <v>271296666.66666663</v>
      </c>
      <c r="H51" s="913">
        <f>E51*D52</f>
        <v>19378.333333333332</v>
      </c>
      <c r="M51" s="485"/>
    </row>
    <row r="52" spans="1:13" s="223" customFormat="1">
      <c r="A52" s="226"/>
      <c r="B52" s="245"/>
      <c r="C52" s="383"/>
      <c r="D52" s="383">
        <v>440</v>
      </c>
      <c r="E52" s="384">
        <f>E51</f>
        <v>44.041666666666664</v>
      </c>
      <c r="F52" s="374">
        <v>4000</v>
      </c>
      <c r="G52" s="374">
        <f>F52*E52*D52</f>
        <v>77513333.333333328</v>
      </c>
      <c r="H52" s="913"/>
      <c r="M52" s="485"/>
    </row>
    <row r="53" spans="1:13" s="223" customFormat="1" ht="15.75">
      <c r="A53" s="226"/>
      <c r="B53" s="245"/>
      <c r="C53" s="383"/>
      <c r="D53" s="383"/>
      <c r="E53" s="384"/>
      <c r="F53" s="374"/>
      <c r="G53" s="374">
        <f>SUM(G51:G52)</f>
        <v>348809999.99999994</v>
      </c>
      <c r="H53" s="913"/>
      <c r="I53" s="235">
        <f>G53/H51</f>
        <v>17999.999999999996</v>
      </c>
      <c r="M53" s="485"/>
    </row>
    <row r="54" spans="1:13" s="223" customFormat="1" ht="15.75">
      <c r="A54" s="226"/>
      <c r="B54" s="245"/>
      <c r="C54" s="383"/>
      <c r="D54" s="383"/>
      <c r="E54" s="384"/>
      <c r="F54" s="374"/>
      <c r="G54" s="374"/>
      <c r="H54" s="913"/>
      <c r="I54" s="235"/>
      <c r="M54" s="485"/>
    </row>
    <row r="55" spans="1:13" s="223" customFormat="1">
      <c r="A55" s="226"/>
      <c r="B55" s="245"/>
      <c r="C55" s="383" t="s">
        <v>853</v>
      </c>
      <c r="D55" s="383"/>
      <c r="E55" s="384">
        <f>6/12</f>
        <v>0.5</v>
      </c>
      <c r="F55" s="374">
        <f>D56*14000</f>
        <v>8330000</v>
      </c>
      <c r="G55" s="374">
        <f>F55*E55</f>
        <v>4165000</v>
      </c>
      <c r="H55" s="913">
        <f>E55*D56</f>
        <v>297.5</v>
      </c>
      <c r="M55" s="485"/>
    </row>
    <row r="56" spans="1:13" s="223" customFormat="1">
      <c r="A56" s="489"/>
      <c r="B56" s="245"/>
      <c r="C56" s="383"/>
      <c r="D56" s="383">
        <v>595</v>
      </c>
      <c r="E56" s="384">
        <f>E55</f>
        <v>0.5</v>
      </c>
      <c r="F56" s="374">
        <v>4000</v>
      </c>
      <c r="G56" s="374">
        <f>F56*E56*D56</f>
        <v>1190000</v>
      </c>
      <c r="H56" s="913"/>
      <c r="M56" s="485"/>
    </row>
    <row r="57" spans="1:13" s="223" customFormat="1" ht="15.75">
      <c r="A57" s="226"/>
      <c r="B57" s="245"/>
      <c r="C57" s="383"/>
      <c r="D57" s="383"/>
      <c r="E57" s="384"/>
      <c r="F57" s="374"/>
      <c r="G57" s="374">
        <f>SUM(G55:G56)</f>
        <v>5355000</v>
      </c>
      <c r="H57" s="913"/>
      <c r="I57" s="235">
        <f>G57/H55</f>
        <v>18000</v>
      </c>
      <c r="M57" s="485"/>
    </row>
    <row r="58" spans="1:13" s="223" customFormat="1">
      <c r="A58" s="226"/>
      <c r="B58" s="245"/>
      <c r="C58" s="383"/>
      <c r="D58" s="383"/>
      <c r="E58" s="384"/>
      <c r="F58" s="374"/>
      <c r="G58" s="374"/>
      <c r="H58" s="913"/>
      <c r="M58" s="485"/>
    </row>
    <row r="59" spans="1:13" s="223" customFormat="1">
      <c r="A59" s="226"/>
      <c r="B59" s="321"/>
      <c r="C59" s="919"/>
      <c r="D59" s="918"/>
      <c r="E59" s="917"/>
      <c r="F59" s="920"/>
      <c r="G59" s="915"/>
      <c r="H59" s="914"/>
      <c r="I59" s="225"/>
      <c r="M59" s="485"/>
    </row>
    <row r="60" spans="1:13" s="223" customFormat="1">
      <c r="A60" s="489"/>
      <c r="B60" s="321"/>
      <c r="C60" s="555" t="s">
        <v>852</v>
      </c>
      <c r="D60" s="383"/>
      <c r="E60" s="384">
        <f>561.7/12</f>
        <v>46.808333333333337</v>
      </c>
      <c r="F60" s="374">
        <f>D61*14000</f>
        <v>11088000</v>
      </c>
      <c r="G60" s="374">
        <f>F60*E60</f>
        <v>519010800.00000006</v>
      </c>
      <c r="H60" s="913">
        <f>E60*D61</f>
        <v>37072.200000000004</v>
      </c>
      <c r="M60" s="485"/>
    </row>
    <row r="61" spans="1:13" s="223" customFormat="1">
      <c r="A61" s="226"/>
      <c r="B61" s="321"/>
      <c r="C61" s="383"/>
      <c r="D61" s="383">
        <v>792</v>
      </c>
      <c r="E61" s="384">
        <f>E60</f>
        <v>46.808333333333337</v>
      </c>
      <c r="F61" s="374">
        <v>4000</v>
      </c>
      <c r="G61" s="374">
        <f>F61*E61*D61</f>
        <v>148288800</v>
      </c>
      <c r="H61" s="913"/>
      <c r="M61" s="485"/>
    </row>
    <row r="62" spans="1:13" s="223" customFormat="1" ht="15.75">
      <c r="A62" s="226"/>
      <c r="B62" s="321"/>
      <c r="C62" s="383"/>
      <c r="D62" s="383"/>
      <c r="E62" s="384"/>
      <c r="F62" s="374"/>
      <c r="G62" s="374">
        <f>SUM(G60:G61)</f>
        <v>667299600</v>
      </c>
      <c r="H62" s="913"/>
      <c r="I62" s="235">
        <f>G62/H60</f>
        <v>17999.999999999996</v>
      </c>
      <c r="M62" s="485"/>
    </row>
    <row r="63" spans="1:13" s="223" customFormat="1">
      <c r="A63" s="226"/>
      <c r="B63" s="321"/>
      <c r="C63" s="531"/>
      <c r="D63" s="531"/>
      <c r="E63" s="533"/>
      <c r="F63" s="534"/>
      <c r="G63" s="534"/>
      <c r="H63" s="912"/>
      <c r="I63" s="225"/>
      <c r="M63" s="485"/>
    </row>
    <row r="64" spans="1:13" s="223" customFormat="1">
      <c r="A64" s="226"/>
      <c r="B64" s="321"/>
      <c r="C64" s="383" t="s">
        <v>851</v>
      </c>
      <c r="D64" s="383"/>
      <c r="E64" s="384">
        <f>550.5/12</f>
        <v>45.875</v>
      </c>
      <c r="F64" s="374">
        <f>D65*14000</f>
        <v>4970000</v>
      </c>
      <c r="G64" s="374">
        <f>F64*E64</f>
        <v>227998750</v>
      </c>
      <c r="H64" s="913">
        <f>E64*D65</f>
        <v>16285.625</v>
      </c>
      <c r="M64" s="485"/>
    </row>
    <row r="65" spans="1:13" s="223" customFormat="1">
      <c r="A65" s="226"/>
      <c r="B65" s="321"/>
      <c r="C65" s="383"/>
      <c r="D65" s="383">
        <v>355</v>
      </c>
      <c r="E65" s="384">
        <f>E64</f>
        <v>45.875</v>
      </c>
      <c r="F65" s="374">
        <v>4000</v>
      </c>
      <c r="G65" s="374">
        <f>F65*E65*D65</f>
        <v>65142500</v>
      </c>
      <c r="H65" s="913"/>
      <c r="M65" s="485"/>
    </row>
    <row r="66" spans="1:13" s="223" customFormat="1" ht="15.75">
      <c r="A66" s="226"/>
      <c r="B66" s="321"/>
      <c r="C66" s="383"/>
      <c r="D66" s="383"/>
      <c r="E66" s="384"/>
      <c r="F66" s="374"/>
      <c r="G66" s="374">
        <f>SUM(G64:G65)</f>
        <v>293141250</v>
      </c>
      <c r="H66" s="913"/>
      <c r="I66" s="235">
        <f>G66/H64</f>
        <v>18000</v>
      </c>
      <c r="M66" s="485"/>
    </row>
    <row r="67" spans="1:13" s="223" customFormat="1">
      <c r="A67" s="226"/>
      <c r="B67" s="321"/>
      <c r="C67" s="531"/>
      <c r="D67" s="531"/>
      <c r="E67" s="533"/>
      <c r="F67" s="534"/>
      <c r="G67" s="534"/>
      <c r="H67" s="912"/>
      <c r="I67" s="225"/>
      <c r="M67" s="485"/>
    </row>
    <row r="68" spans="1:13" s="223" customFormat="1">
      <c r="A68" s="226"/>
      <c r="B68" s="321"/>
      <c r="C68" s="555" t="s">
        <v>850</v>
      </c>
      <c r="D68" s="383"/>
      <c r="E68" s="384">
        <f>(82*6)/12</f>
        <v>41</v>
      </c>
      <c r="F68" s="374">
        <f>D69*14000</f>
        <v>4970000</v>
      </c>
      <c r="G68" s="374">
        <f>F68*E68</f>
        <v>203770000</v>
      </c>
      <c r="H68" s="913">
        <f>E68*D69</f>
        <v>14555</v>
      </c>
      <c r="M68" s="485"/>
    </row>
    <row r="69" spans="1:13" s="223" customFormat="1">
      <c r="A69" s="226"/>
      <c r="B69" s="321"/>
      <c r="C69" s="383"/>
      <c r="D69" s="383">
        <v>355</v>
      </c>
      <c r="E69" s="384">
        <f>E68</f>
        <v>41</v>
      </c>
      <c r="F69" s="374">
        <v>4000</v>
      </c>
      <c r="G69" s="374">
        <f>F69*E69*D69</f>
        <v>58220000</v>
      </c>
      <c r="H69" s="913"/>
      <c r="M69" s="485"/>
    </row>
    <row r="70" spans="1:13" s="223" customFormat="1" ht="15.75">
      <c r="A70" s="226"/>
      <c r="B70" s="321"/>
      <c r="C70" s="383"/>
      <c r="D70" s="383"/>
      <c r="E70" s="384"/>
      <c r="F70" s="374"/>
      <c r="G70" s="374">
        <f>SUM(G68:G69)</f>
        <v>261990000</v>
      </c>
      <c r="H70" s="913"/>
      <c r="I70" s="235">
        <f>G70/H68</f>
        <v>18000</v>
      </c>
      <c r="M70" s="485"/>
    </row>
    <row r="71" spans="1:13" s="223" customFormat="1">
      <c r="A71" s="226"/>
      <c r="B71" s="321"/>
      <c r="C71" s="531"/>
      <c r="D71" s="531"/>
      <c r="E71" s="533"/>
      <c r="F71" s="534"/>
      <c r="G71" s="534"/>
      <c r="H71" s="912"/>
      <c r="I71" s="225"/>
      <c r="M71" s="485"/>
    </row>
    <row r="72" spans="1:13" s="223" customFormat="1">
      <c r="A72" s="226"/>
      <c r="B72" s="321"/>
      <c r="C72" s="555" t="s">
        <v>492</v>
      </c>
      <c r="D72" s="383"/>
      <c r="E72" s="384">
        <f>256.5/12</f>
        <v>21.375</v>
      </c>
      <c r="F72" s="374">
        <f>D73*14000</f>
        <v>4970000</v>
      </c>
      <c r="G72" s="374">
        <f>F72*E72</f>
        <v>106233750</v>
      </c>
      <c r="H72" s="913">
        <f>E72*D73</f>
        <v>7588.125</v>
      </c>
      <c r="M72" s="485"/>
    </row>
    <row r="73" spans="1:13" s="223" customFormat="1">
      <c r="A73" s="226"/>
      <c r="B73" s="321"/>
      <c r="C73" s="383"/>
      <c r="D73" s="383">
        <v>355</v>
      </c>
      <c r="E73" s="384">
        <f>E72</f>
        <v>21.375</v>
      </c>
      <c r="F73" s="374">
        <v>4000</v>
      </c>
      <c r="G73" s="374">
        <f>F73*E73*D73</f>
        <v>30352500</v>
      </c>
      <c r="H73" s="913"/>
      <c r="M73" s="485"/>
    </row>
    <row r="74" spans="1:13" s="223" customFormat="1" ht="15.75">
      <c r="A74" s="226"/>
      <c r="B74" s="321"/>
      <c r="C74" s="383"/>
      <c r="D74" s="383"/>
      <c r="E74" s="384"/>
      <c r="F74" s="374"/>
      <c r="G74" s="374">
        <f>SUM(G72:G73)</f>
        <v>136586250</v>
      </c>
      <c r="H74" s="913"/>
      <c r="I74" s="235">
        <f>G74/H72</f>
        <v>18000</v>
      </c>
      <c r="M74" s="485"/>
    </row>
    <row r="75" spans="1:13" s="223" customFormat="1">
      <c r="A75" s="226"/>
      <c r="B75" s="321"/>
      <c r="C75" s="531"/>
      <c r="D75" s="531"/>
      <c r="E75" s="533"/>
      <c r="F75" s="534"/>
      <c r="G75" s="534"/>
      <c r="H75" s="912"/>
      <c r="I75" s="225"/>
      <c r="M75" s="485"/>
    </row>
    <row r="76" spans="1:13" s="223" customFormat="1">
      <c r="A76" s="226"/>
      <c r="B76" s="321"/>
      <c r="C76" s="555" t="s">
        <v>822</v>
      </c>
      <c r="D76" s="383"/>
      <c r="E76" s="384">
        <f>195.5/12</f>
        <v>16.291666666666668</v>
      </c>
      <c r="F76" s="374">
        <f>D77*14000</f>
        <v>3584000</v>
      </c>
      <c r="G76" s="374">
        <f>F76*E76</f>
        <v>58389333.333333336</v>
      </c>
      <c r="H76" s="913">
        <f>E76*D77</f>
        <v>4170.666666666667</v>
      </c>
      <c r="M76" s="485"/>
    </row>
    <row r="77" spans="1:13" s="223" customFormat="1">
      <c r="A77" s="226"/>
      <c r="B77" s="321"/>
      <c r="C77" s="383"/>
      <c r="D77" s="383">
        <v>256</v>
      </c>
      <c r="E77" s="384">
        <f>E76</f>
        <v>16.291666666666668</v>
      </c>
      <c r="F77" s="374">
        <v>4000</v>
      </c>
      <c r="G77" s="374">
        <f>F77*E77*D77</f>
        <v>16682666.666666668</v>
      </c>
      <c r="H77" s="913"/>
      <c r="M77" s="485"/>
    </row>
    <row r="78" spans="1:13" s="223" customFormat="1" ht="15.75">
      <c r="A78" s="226"/>
      <c r="B78" s="321"/>
      <c r="C78" s="383"/>
      <c r="D78" s="383"/>
      <c r="E78" s="384"/>
      <c r="F78" s="374"/>
      <c r="G78" s="374">
        <f>SUM(G76:G77)</f>
        <v>75072000</v>
      </c>
      <c r="H78" s="913"/>
      <c r="I78" s="235">
        <f>G78/H76</f>
        <v>18000</v>
      </c>
      <c r="M78" s="485"/>
    </row>
    <row r="79" spans="1:13" s="223" customFormat="1">
      <c r="A79" s="226"/>
      <c r="B79" s="321"/>
      <c r="C79" s="531"/>
      <c r="D79" s="531"/>
      <c r="E79" s="533"/>
      <c r="F79" s="534"/>
      <c r="G79" s="534"/>
      <c r="H79" s="912"/>
      <c r="I79" s="225"/>
      <c r="M79" s="485"/>
    </row>
    <row r="80" spans="1:13" s="223" customFormat="1">
      <c r="A80" s="226"/>
      <c r="B80" s="321"/>
      <c r="C80" s="919" t="s">
        <v>265</v>
      </c>
      <c r="D80" s="918"/>
      <c r="E80" s="917"/>
      <c r="F80" s="916"/>
      <c r="G80" s="915"/>
      <c r="H80" s="914"/>
      <c r="I80" s="225"/>
      <c r="M80" s="485"/>
    </row>
    <row r="81" spans="1:13" s="223" customFormat="1">
      <c r="A81" s="226"/>
      <c r="B81" s="321"/>
      <c r="C81" s="383" t="s">
        <v>269</v>
      </c>
      <c r="D81" s="383"/>
      <c r="E81" s="384">
        <f>(336+2394)/6</f>
        <v>455</v>
      </c>
      <c r="F81" s="374">
        <f>D82*14000</f>
        <v>567840</v>
      </c>
      <c r="G81" s="374">
        <f>F81*E81</f>
        <v>258367200</v>
      </c>
      <c r="H81" s="913">
        <f>E81*D82</f>
        <v>18454.8</v>
      </c>
      <c r="M81" s="485"/>
    </row>
    <row r="82" spans="1:13" s="223" customFormat="1">
      <c r="A82" s="226"/>
      <c r="B82" s="321"/>
      <c r="C82" s="383"/>
      <c r="D82" s="383">
        <v>40.56</v>
      </c>
      <c r="E82" s="384">
        <f>E81</f>
        <v>455</v>
      </c>
      <c r="F82" s="374">
        <v>4000</v>
      </c>
      <c r="G82" s="374">
        <f>F82*E82*D82</f>
        <v>73819200</v>
      </c>
      <c r="H82" s="913"/>
      <c r="M82" s="485"/>
    </row>
    <row r="83" spans="1:13" s="223" customFormat="1" ht="15.75">
      <c r="A83" s="226"/>
      <c r="B83" s="321"/>
      <c r="C83" s="383"/>
      <c r="D83" s="383"/>
      <c r="E83" s="384"/>
      <c r="F83" s="383"/>
      <c r="G83" s="374">
        <f>SUM(G81:G82)</f>
        <v>332186400</v>
      </c>
      <c r="H83" s="913"/>
      <c r="I83" s="235">
        <f>G83/H81</f>
        <v>18000</v>
      </c>
      <c r="M83" s="485"/>
    </row>
    <row r="84" spans="1:13" s="223" customFormat="1" ht="15.75">
      <c r="A84" s="226"/>
      <c r="B84" s="321"/>
      <c r="C84" s="531"/>
      <c r="D84" s="531"/>
      <c r="E84" s="533"/>
      <c r="F84" s="531"/>
      <c r="G84" s="534"/>
      <c r="H84" s="912"/>
      <c r="I84" s="235"/>
      <c r="M84" s="485"/>
    </row>
    <row r="85" spans="1:13" s="223" customFormat="1" ht="15.75">
      <c r="A85" s="226"/>
      <c r="B85" s="321"/>
      <c r="C85" s="531" t="s">
        <v>849</v>
      </c>
      <c r="D85" s="531"/>
      <c r="E85" s="533"/>
      <c r="F85" s="531"/>
      <c r="G85" s="534"/>
      <c r="H85" s="912"/>
      <c r="I85" s="235"/>
      <c r="M85" s="485"/>
    </row>
    <row r="86" spans="1:13" s="223" customFormat="1" ht="15.75">
      <c r="A86" s="226"/>
      <c r="B86" s="321"/>
      <c r="C86" s="525" t="s">
        <v>481</v>
      </c>
      <c r="D86" s="383"/>
      <c r="E86" s="528">
        <f>0.16/2.97</f>
        <v>5.387205387205387E-2</v>
      </c>
      <c r="F86" s="374">
        <f>D87*14000</f>
        <v>25522000</v>
      </c>
      <c r="G86" s="374">
        <f>F86*E86</f>
        <v>1374922.5589225588</v>
      </c>
      <c r="H86" s="913">
        <f>E86*D87</f>
        <v>98.2087542087542</v>
      </c>
      <c r="M86" s="485"/>
    </row>
    <row r="87" spans="1:13" s="223" customFormat="1">
      <c r="A87" s="226"/>
      <c r="B87" s="321"/>
      <c r="C87" s="531"/>
      <c r="D87" s="383">
        <v>1823</v>
      </c>
      <c r="E87" s="384">
        <f>E86</f>
        <v>5.387205387205387E-2</v>
      </c>
      <c r="F87" s="374">
        <v>4000</v>
      </c>
      <c r="G87" s="374">
        <f>F87*E87*D87</f>
        <v>392835.01683501678</v>
      </c>
      <c r="H87" s="913"/>
      <c r="M87" s="485"/>
    </row>
    <row r="88" spans="1:13" s="223" customFormat="1" ht="15.75">
      <c r="A88" s="226"/>
      <c r="B88" s="321"/>
      <c r="C88" s="531"/>
      <c r="D88" s="383"/>
      <c r="E88" s="384"/>
      <c r="F88" s="374"/>
      <c r="G88" s="374">
        <f>SUM(G86:G87)</f>
        <v>1767757.5757575757</v>
      </c>
      <c r="H88" s="913"/>
      <c r="I88" s="235">
        <f>G88/H86</f>
        <v>18000</v>
      </c>
      <c r="M88" s="485"/>
    </row>
    <row r="89" spans="1:13" s="223" customFormat="1">
      <c r="A89" s="226"/>
      <c r="B89" s="321"/>
      <c r="C89" s="531"/>
      <c r="D89" s="383"/>
      <c r="E89" s="384"/>
      <c r="F89" s="374"/>
      <c r="G89" s="374"/>
      <c r="H89" s="913"/>
      <c r="M89" s="485"/>
    </row>
    <row r="90" spans="1:13" s="223" customFormat="1" ht="15.75">
      <c r="A90" s="226"/>
      <c r="B90" s="321"/>
      <c r="C90" s="246" t="s">
        <v>836</v>
      </c>
      <c r="D90" s="383"/>
      <c r="E90" s="384">
        <v>4</v>
      </c>
      <c r="F90" s="383">
        <v>140000</v>
      </c>
      <c r="G90" s="374">
        <f>F90*E90</f>
        <v>560000</v>
      </c>
      <c r="H90" s="913"/>
      <c r="I90" s="235"/>
      <c r="M90" s="485"/>
    </row>
    <row r="91" spans="1:13" s="223" customFormat="1" ht="15.75">
      <c r="A91" s="226"/>
      <c r="B91" s="321"/>
      <c r="C91" s="246" t="s">
        <v>494</v>
      </c>
      <c r="D91" s="531"/>
      <c r="E91" s="533">
        <v>4</v>
      </c>
      <c r="F91" s="531">
        <v>153000</v>
      </c>
      <c r="G91" s="374">
        <f>F91*E91</f>
        <v>612000</v>
      </c>
      <c r="H91" s="912"/>
      <c r="I91" s="235"/>
      <c r="M91" s="485"/>
    </row>
    <row r="92" spans="1:13" s="223" customFormat="1" ht="15.75">
      <c r="A92" s="226"/>
      <c r="B92" s="321"/>
      <c r="C92" s="531"/>
      <c r="D92" s="531"/>
      <c r="E92" s="533"/>
      <c r="F92" s="531"/>
      <c r="G92" s="556">
        <f>SUM(G86:G91)</f>
        <v>4707515.1515151514</v>
      </c>
      <c r="H92" s="912"/>
      <c r="I92" s="235"/>
      <c r="M92" s="485"/>
    </row>
    <row r="93" spans="1:13" s="223" customFormat="1" ht="15.75">
      <c r="A93" s="226"/>
      <c r="B93" s="321"/>
      <c r="C93" s="531"/>
      <c r="D93" s="531"/>
      <c r="E93" s="533"/>
      <c r="F93" s="531"/>
      <c r="G93" s="534"/>
      <c r="H93" s="912"/>
      <c r="I93" s="235"/>
      <c r="M93" s="485"/>
    </row>
    <row r="94" spans="1:13" s="223" customFormat="1" ht="15.75">
      <c r="A94" s="226"/>
      <c r="B94" s="321"/>
      <c r="C94" s="531"/>
      <c r="D94" s="531"/>
      <c r="E94" s="533"/>
      <c r="F94" s="531"/>
      <c r="G94" s="534"/>
      <c r="H94" s="912"/>
      <c r="I94" s="235"/>
      <c r="M94" s="485"/>
    </row>
    <row r="95" spans="1:13" s="223" customFormat="1">
      <c r="A95" s="911"/>
      <c r="B95" s="321" t="s">
        <v>848</v>
      </c>
      <c r="C95" s="223" t="s">
        <v>843</v>
      </c>
      <c r="E95" s="223">
        <f>(7.5*5)/5</f>
        <v>7.5</v>
      </c>
      <c r="F95" s="374">
        <f>D96*14000</f>
        <v>11094720</v>
      </c>
      <c r="G95" s="374">
        <f>F95*E95</f>
        <v>83210400</v>
      </c>
      <c r="H95" s="225">
        <f>E95*D96</f>
        <v>5943.6</v>
      </c>
      <c r="I95" s="225"/>
      <c r="M95" s="485"/>
    </row>
    <row r="96" spans="1:13" s="223" customFormat="1" ht="15.75">
      <c r="A96" s="911"/>
      <c r="B96" s="321"/>
      <c r="C96" s="525"/>
      <c r="D96" s="526">
        <v>792.48</v>
      </c>
      <c r="E96" s="527">
        <f>E95</f>
        <v>7.5</v>
      </c>
      <c r="F96" s="528">
        <v>4000</v>
      </c>
      <c r="G96" s="374">
        <f>F96*E96*D96</f>
        <v>23774400</v>
      </c>
      <c r="H96" s="909"/>
      <c r="I96" s="225"/>
      <c r="M96" s="485"/>
    </row>
    <row r="97" spans="1:13" s="223" customFormat="1" ht="15.75">
      <c r="A97" s="911"/>
      <c r="B97" s="321"/>
      <c r="C97" s="525"/>
      <c r="D97" s="383"/>
      <c r="E97" s="528">
        <f>(0.16/2.97)*5</f>
        <v>0.26936026936026936</v>
      </c>
      <c r="F97" s="374">
        <f>D98*14000</f>
        <v>4970000</v>
      </c>
      <c r="G97" s="374">
        <f>F97*E97</f>
        <v>1338720.5387205386</v>
      </c>
      <c r="H97" s="225">
        <f>E97*D98</f>
        <v>95.622895622895626</v>
      </c>
      <c r="I97" s="225"/>
      <c r="M97" s="485"/>
    </row>
    <row r="98" spans="1:13" s="223" customFormat="1" ht="15.75">
      <c r="A98" s="911"/>
      <c r="B98" s="321"/>
      <c r="C98" s="525" t="s">
        <v>481</v>
      </c>
      <c r="D98" s="383">
        <v>355</v>
      </c>
      <c r="E98" s="384">
        <f>E97</f>
        <v>0.26936026936026936</v>
      </c>
      <c r="F98" s="374">
        <v>4000</v>
      </c>
      <c r="G98" s="374">
        <f>F98*E98*D98</f>
        <v>382491.58249158249</v>
      </c>
      <c r="H98" s="909"/>
      <c r="I98" s="225"/>
      <c r="M98" s="485"/>
    </row>
    <row r="99" spans="1:13" s="223" customFormat="1" ht="15.75">
      <c r="A99" s="911"/>
      <c r="B99" s="321"/>
      <c r="C99" s="525" t="s">
        <v>482</v>
      </c>
      <c r="D99" s="530"/>
      <c r="E99" s="528">
        <f>(0.0135/2.97)*5</f>
        <v>2.2727272727272728E-2</v>
      </c>
      <c r="F99" s="374">
        <f>D100*14000</f>
        <v>3944360</v>
      </c>
      <c r="G99" s="374">
        <f>F99*E99</f>
        <v>89644.545454545456</v>
      </c>
      <c r="H99" s="225">
        <f>E99*D100</f>
        <v>6.4031818181818183</v>
      </c>
      <c r="I99" s="225"/>
      <c r="M99" s="485"/>
    </row>
    <row r="100" spans="1:13" s="223" customFormat="1" ht="15.75">
      <c r="A100" s="911"/>
      <c r="C100" s="531"/>
      <c r="D100" s="530">
        <v>281.74</v>
      </c>
      <c r="E100" s="384">
        <f>E99</f>
        <v>2.2727272727272728E-2</v>
      </c>
      <c r="F100" s="374">
        <v>4000</v>
      </c>
      <c r="G100" s="374">
        <f>F100*E100*D100</f>
        <v>25612.727272727272</v>
      </c>
      <c r="H100" s="909"/>
      <c r="I100" s="225"/>
      <c r="J100" s="225"/>
      <c r="M100" s="485"/>
    </row>
    <row r="101" spans="1:13" s="223" customFormat="1" ht="15.75">
      <c r="A101" s="911"/>
      <c r="C101" s="531"/>
      <c r="D101" s="530"/>
      <c r="E101" s="384"/>
      <c r="F101" s="374"/>
      <c r="G101" s="374">
        <f>SUM(G95:G100)</f>
        <v>108821269.39393939</v>
      </c>
      <c r="H101" s="909">
        <f>SUM(H95:H100)</f>
        <v>6045.6260774410785</v>
      </c>
      <c r="I101" s="225">
        <f>G101/H101</f>
        <v>17999.999999999996</v>
      </c>
      <c r="J101" s="225"/>
      <c r="M101" s="485"/>
    </row>
    <row r="102" spans="1:13" s="223" customFormat="1" ht="15.75">
      <c r="A102" s="911"/>
      <c r="C102" s="531"/>
      <c r="D102" s="530"/>
      <c r="E102" s="384"/>
      <c r="F102" s="374"/>
      <c r="G102" s="374"/>
      <c r="H102" s="909"/>
      <c r="I102" s="225"/>
      <c r="J102" s="225"/>
      <c r="M102" s="485"/>
    </row>
    <row r="103" spans="1:13" s="223" customFormat="1" ht="15.75">
      <c r="A103" s="226"/>
      <c r="C103" s="246" t="s">
        <v>836</v>
      </c>
      <c r="D103" s="530"/>
      <c r="E103" s="384">
        <v>4</v>
      </c>
      <c r="F103" s="383">
        <v>140000</v>
      </c>
      <c r="G103" s="374">
        <f>F103*E103</f>
        <v>560000</v>
      </c>
      <c r="H103" s="909"/>
      <c r="I103" s="225"/>
      <c r="J103" s="225"/>
      <c r="M103" s="485"/>
    </row>
    <row r="104" spans="1:13" s="223" customFormat="1" ht="15.75">
      <c r="A104" s="226"/>
      <c r="C104" s="246" t="s">
        <v>494</v>
      </c>
      <c r="D104" s="531"/>
      <c r="E104" s="533">
        <v>4</v>
      </c>
      <c r="F104" s="531">
        <v>153000</v>
      </c>
      <c r="G104" s="374">
        <f>F104*E104</f>
        <v>612000</v>
      </c>
      <c r="H104" s="909"/>
      <c r="I104" s="225"/>
      <c r="J104" s="225"/>
      <c r="M104" s="485"/>
    </row>
    <row r="105" spans="1:13" s="223" customFormat="1" ht="15.75">
      <c r="A105" s="226"/>
      <c r="C105" s="531"/>
      <c r="D105" s="531"/>
      <c r="E105" s="533"/>
      <c r="F105" s="531"/>
      <c r="G105" s="556">
        <f>SUM(G95:G104)</f>
        <v>218814538.78787878</v>
      </c>
      <c r="H105" s="908"/>
      <c r="I105" s="225"/>
      <c r="J105" s="225"/>
      <c r="M105" s="485"/>
    </row>
    <row r="106" spans="1:13" s="223" customFormat="1" ht="15.75">
      <c r="A106" s="226"/>
      <c r="C106" s="531"/>
      <c r="D106" s="531"/>
      <c r="E106" s="533"/>
      <c r="F106" s="531"/>
      <c r="G106" s="556"/>
      <c r="H106" s="908"/>
      <c r="I106" s="225"/>
      <c r="J106" s="225"/>
      <c r="M106" s="485"/>
    </row>
    <row r="107" spans="1:13" s="223" customFormat="1">
      <c r="A107" s="226"/>
      <c r="B107" s="223" t="s">
        <v>848</v>
      </c>
      <c r="C107" s="223" t="s">
        <v>847</v>
      </c>
      <c r="E107" s="223">
        <f>(3.5/6)*4</f>
        <v>2.3333333333333335</v>
      </c>
      <c r="F107" s="374">
        <f>D108*14000</f>
        <v>11094720</v>
      </c>
      <c r="G107" s="374">
        <f>F107*E107</f>
        <v>25887680</v>
      </c>
      <c r="H107" s="225">
        <f>E107*D108</f>
        <v>1849.1200000000001</v>
      </c>
      <c r="I107" s="225"/>
      <c r="J107" s="225"/>
      <c r="M107" s="485"/>
    </row>
    <row r="108" spans="1:13" s="223" customFormat="1" ht="15.75">
      <c r="A108" s="226"/>
      <c r="C108" s="525"/>
      <c r="D108" s="526">
        <v>792.48</v>
      </c>
      <c r="E108" s="527">
        <f>E107</f>
        <v>2.3333333333333335</v>
      </c>
      <c r="F108" s="528">
        <v>4000</v>
      </c>
      <c r="G108" s="374">
        <f>F108*E108*D108</f>
        <v>7396480.0000000009</v>
      </c>
      <c r="H108" s="909"/>
      <c r="I108" s="225"/>
      <c r="J108" s="225"/>
      <c r="M108" s="485"/>
    </row>
    <row r="109" spans="1:13" s="223" customFormat="1" ht="15.75">
      <c r="A109" s="226"/>
      <c r="C109" s="525"/>
      <c r="D109" s="383"/>
      <c r="E109" s="528">
        <f>(0.16/2.97)*4</f>
        <v>0.21548821548821548</v>
      </c>
      <c r="F109" s="374">
        <f>D110*14000</f>
        <v>4970000</v>
      </c>
      <c r="G109" s="374">
        <f>F109*E109</f>
        <v>1070976.4309764309</v>
      </c>
      <c r="H109" s="225">
        <f>E109*D110</f>
        <v>76.498316498316498</v>
      </c>
      <c r="I109" s="225"/>
      <c r="J109" s="225"/>
      <c r="M109" s="485"/>
    </row>
    <row r="110" spans="1:13" s="223" customFormat="1" ht="15.75">
      <c r="A110" s="226"/>
      <c r="C110" s="525" t="s">
        <v>481</v>
      </c>
      <c r="D110" s="383">
        <v>355</v>
      </c>
      <c r="E110" s="384">
        <f>E109</f>
        <v>0.21548821548821548</v>
      </c>
      <c r="F110" s="374">
        <v>4000</v>
      </c>
      <c r="G110" s="374">
        <f>F110*E110*D110</f>
        <v>305993.26599326596</v>
      </c>
      <c r="H110" s="909"/>
      <c r="I110" s="225"/>
      <c r="J110" s="225"/>
      <c r="M110" s="485"/>
    </row>
    <row r="111" spans="1:13" s="223" customFormat="1" ht="15.75">
      <c r="A111" s="226"/>
      <c r="C111" s="525" t="s">
        <v>482</v>
      </c>
      <c r="D111" s="530"/>
      <c r="E111" s="528">
        <f>(0.0135/2.97)*4</f>
        <v>1.8181818181818181E-2</v>
      </c>
      <c r="F111" s="374">
        <f>D112*14000</f>
        <v>3944360</v>
      </c>
      <c r="G111" s="374">
        <f>F111*E111</f>
        <v>71715.636363636353</v>
      </c>
      <c r="H111" s="225">
        <f>E111*D112</f>
        <v>5.1225454545454543</v>
      </c>
      <c r="I111" s="225"/>
      <c r="J111" s="225"/>
      <c r="M111" s="485"/>
    </row>
    <row r="112" spans="1:13" s="223" customFormat="1" ht="15.75">
      <c r="A112" s="226"/>
      <c r="C112" s="531"/>
      <c r="D112" s="530">
        <v>281.74</v>
      </c>
      <c r="E112" s="384">
        <f>E111</f>
        <v>1.8181818181818181E-2</v>
      </c>
      <c r="F112" s="374">
        <v>4000</v>
      </c>
      <c r="G112" s="374">
        <f>F112*E112*D112</f>
        <v>20490.181818181816</v>
      </c>
      <c r="H112" s="909"/>
      <c r="I112" s="225"/>
      <c r="J112" s="225"/>
      <c r="M112" s="485"/>
    </row>
    <row r="113" spans="1:13" s="223" customFormat="1" ht="15.75">
      <c r="A113" s="226"/>
      <c r="C113" s="531"/>
      <c r="D113" s="530"/>
      <c r="E113" s="384"/>
      <c r="F113" s="374"/>
      <c r="G113" s="374">
        <f>SUM(G107:G112)</f>
        <v>34753335.515151508</v>
      </c>
      <c r="H113" s="909">
        <f>SUM(H107:H112)</f>
        <v>1930.7408619528619</v>
      </c>
      <c r="I113" s="225">
        <f>G113/H113</f>
        <v>17999.999999999996</v>
      </c>
      <c r="J113" s="225"/>
      <c r="M113" s="485"/>
    </row>
    <row r="114" spans="1:13" s="223" customFormat="1" ht="15.75">
      <c r="A114" s="226"/>
      <c r="C114" s="531"/>
      <c r="D114" s="530"/>
      <c r="E114" s="384"/>
      <c r="F114" s="374"/>
      <c r="G114" s="374"/>
      <c r="H114" s="909"/>
      <c r="I114" s="225"/>
      <c r="J114" s="225"/>
      <c r="M114" s="485"/>
    </row>
    <row r="115" spans="1:13" s="223" customFormat="1">
      <c r="A115" s="226"/>
      <c r="B115" s="910" t="s">
        <v>846</v>
      </c>
      <c r="C115" s="223" t="s">
        <v>843</v>
      </c>
      <c r="E115" s="223">
        <f>(7.5*5)/24</f>
        <v>1.5625</v>
      </c>
      <c r="F115" s="374">
        <f>D116*14000</f>
        <v>11094720</v>
      </c>
      <c r="G115" s="374">
        <f>F115*E115</f>
        <v>17335500</v>
      </c>
      <c r="H115" s="225">
        <f>E115*D116</f>
        <v>1238.25</v>
      </c>
      <c r="I115" s="225"/>
      <c r="J115" s="225"/>
      <c r="M115" s="485"/>
    </row>
    <row r="116" spans="1:13" s="223" customFormat="1" ht="15.75">
      <c r="A116" s="226"/>
      <c r="B116" s="321"/>
      <c r="C116" s="525"/>
      <c r="D116" s="526">
        <v>792.48</v>
      </c>
      <c r="E116" s="527">
        <f>E115</f>
        <v>1.5625</v>
      </c>
      <c r="F116" s="528">
        <v>4000</v>
      </c>
      <c r="G116" s="374">
        <f>F116*E116*D116</f>
        <v>4953000</v>
      </c>
      <c r="H116" s="909"/>
      <c r="I116" s="225"/>
      <c r="J116" s="225"/>
      <c r="M116" s="485"/>
    </row>
    <row r="117" spans="1:13" s="223" customFormat="1" ht="15.75">
      <c r="A117" s="226"/>
      <c r="B117" s="321"/>
      <c r="C117" s="525"/>
      <c r="D117" s="383"/>
      <c r="E117" s="528">
        <f>(0.16/2.97)*24</f>
        <v>1.2929292929292928</v>
      </c>
      <c r="F117" s="374">
        <f>D118*14000</f>
        <v>4970000</v>
      </c>
      <c r="G117" s="374">
        <f>F117*E117</f>
        <v>6425858.5858585853</v>
      </c>
      <c r="H117" s="225">
        <f>E117*D118</f>
        <v>458.98989898989896</v>
      </c>
      <c r="I117" s="225"/>
      <c r="J117" s="225"/>
      <c r="M117" s="485"/>
    </row>
    <row r="118" spans="1:13" s="223" customFormat="1" ht="15.75">
      <c r="A118" s="226"/>
      <c r="B118" s="321"/>
      <c r="C118" s="525" t="s">
        <v>481</v>
      </c>
      <c r="D118" s="383">
        <v>355</v>
      </c>
      <c r="E118" s="384">
        <f>E117</f>
        <v>1.2929292929292928</v>
      </c>
      <c r="F118" s="374">
        <v>4000</v>
      </c>
      <c r="G118" s="374">
        <f>F118*E118*D118</f>
        <v>1835959.5959595959</v>
      </c>
      <c r="H118" s="909"/>
      <c r="I118" s="225"/>
      <c r="J118" s="225"/>
      <c r="M118" s="485"/>
    </row>
    <row r="119" spans="1:13" s="223" customFormat="1" ht="15.75">
      <c r="A119" s="226"/>
      <c r="B119" s="321"/>
      <c r="C119" s="525" t="s">
        <v>482</v>
      </c>
      <c r="D119" s="530"/>
      <c r="E119" s="528">
        <f>(0.0135/2.97)*24</f>
        <v>0.10909090909090909</v>
      </c>
      <c r="F119" s="374">
        <f>D120*14000</f>
        <v>3944360</v>
      </c>
      <c r="G119" s="374">
        <f>F119*E119</f>
        <v>430293.81818181818</v>
      </c>
      <c r="H119" s="225">
        <f>E119*D120</f>
        <v>30.735272727272726</v>
      </c>
      <c r="I119" s="225"/>
      <c r="J119" s="225"/>
      <c r="M119" s="485"/>
    </row>
    <row r="120" spans="1:13" s="223" customFormat="1" ht="15.75">
      <c r="A120" s="226"/>
      <c r="C120" s="531"/>
      <c r="D120" s="530">
        <v>281.74</v>
      </c>
      <c r="E120" s="384">
        <f>E119</f>
        <v>0.10909090909090909</v>
      </c>
      <c r="F120" s="374">
        <v>4000</v>
      </c>
      <c r="G120" s="374">
        <f>F120*E120*D120</f>
        <v>122941.0909090909</v>
      </c>
      <c r="H120" s="909"/>
      <c r="I120" s="225"/>
      <c r="J120" s="225"/>
      <c r="M120" s="485"/>
    </row>
    <row r="121" spans="1:13" s="223" customFormat="1" ht="15.75">
      <c r="A121" s="226"/>
      <c r="C121" s="531"/>
      <c r="D121" s="530"/>
      <c r="E121" s="384"/>
      <c r="F121" s="374"/>
      <c r="G121" s="374">
        <f>SUM(G115:G120)</f>
        <v>31103553.090909086</v>
      </c>
      <c r="H121" s="909">
        <f>SUM(H115:H120)</f>
        <v>1727.9751717171716</v>
      </c>
      <c r="I121" s="225">
        <f>G121/H121</f>
        <v>17999.999999999996</v>
      </c>
      <c r="J121" s="225"/>
      <c r="M121" s="485"/>
    </row>
    <row r="122" spans="1:13" s="223" customFormat="1" ht="15.75">
      <c r="A122" s="226"/>
      <c r="C122" s="531"/>
      <c r="D122" s="530"/>
      <c r="E122" s="384"/>
      <c r="F122" s="374"/>
      <c r="G122" s="374"/>
      <c r="H122" s="909"/>
      <c r="I122" s="225"/>
      <c r="J122" s="225"/>
      <c r="M122" s="485"/>
    </row>
    <row r="123" spans="1:13" s="223" customFormat="1" ht="15.75">
      <c r="A123" s="226"/>
      <c r="C123" s="246" t="s">
        <v>836</v>
      </c>
      <c r="D123" s="530"/>
      <c r="E123" s="384">
        <v>4</v>
      </c>
      <c r="F123" s="383">
        <v>140000</v>
      </c>
      <c r="G123" s="374">
        <f>F123*E123</f>
        <v>560000</v>
      </c>
      <c r="H123" s="909"/>
      <c r="I123" s="225"/>
      <c r="J123" s="225"/>
      <c r="M123" s="485"/>
    </row>
    <row r="124" spans="1:13" s="223" customFormat="1" ht="15.75">
      <c r="A124" s="226"/>
      <c r="C124" s="246" t="s">
        <v>494</v>
      </c>
      <c r="D124" s="531"/>
      <c r="E124" s="533">
        <v>4</v>
      </c>
      <c r="F124" s="531">
        <v>153000</v>
      </c>
      <c r="G124" s="374">
        <f>F124*E124</f>
        <v>612000</v>
      </c>
      <c r="H124" s="909"/>
      <c r="I124" s="225"/>
      <c r="J124" s="225"/>
      <c r="M124" s="485"/>
    </row>
    <row r="125" spans="1:13" s="223" customFormat="1" ht="15.75">
      <c r="A125" s="226"/>
      <c r="C125" s="531"/>
      <c r="D125" s="531"/>
      <c r="E125" s="533"/>
      <c r="F125" s="531"/>
      <c r="G125" s="556">
        <f>SUM(G115:G124)</f>
        <v>63379106.181818172</v>
      </c>
      <c r="H125" s="908"/>
      <c r="I125" s="225"/>
      <c r="J125" s="225"/>
      <c r="M125" s="485"/>
    </row>
    <row r="126" spans="1:13" s="223" customFormat="1" ht="15.75">
      <c r="A126" s="226"/>
      <c r="C126" s="531"/>
      <c r="D126" s="531"/>
      <c r="E126" s="533"/>
      <c r="F126" s="531"/>
      <c r="G126" s="556"/>
      <c r="H126" s="908"/>
      <c r="I126" s="225"/>
      <c r="J126" s="225"/>
      <c r="M126" s="485"/>
    </row>
    <row r="127" spans="1:13" s="223" customFormat="1">
      <c r="A127" s="226"/>
      <c r="B127" s="223" t="s">
        <v>846</v>
      </c>
      <c r="C127" s="223" t="s">
        <v>845</v>
      </c>
      <c r="E127" s="223">
        <f>(3.5/6)*3</f>
        <v>1.75</v>
      </c>
      <c r="F127" s="374">
        <f>D128*14000</f>
        <v>11094720</v>
      </c>
      <c r="G127" s="374">
        <f>F127*E127</f>
        <v>19415760</v>
      </c>
      <c r="H127" s="225">
        <f>E127*D128</f>
        <v>1386.8400000000001</v>
      </c>
      <c r="I127" s="225"/>
      <c r="J127" s="225"/>
      <c r="M127" s="485"/>
    </row>
    <row r="128" spans="1:13" s="223" customFormat="1" ht="15.75">
      <c r="A128" s="226"/>
      <c r="C128" s="525"/>
      <c r="D128" s="526">
        <v>792.48</v>
      </c>
      <c r="E128" s="527">
        <f>E127</f>
        <v>1.75</v>
      </c>
      <c r="F128" s="528">
        <v>4000</v>
      </c>
      <c r="G128" s="374">
        <f>F128*E128*D128</f>
        <v>5547360</v>
      </c>
      <c r="H128" s="909"/>
      <c r="I128" s="225"/>
      <c r="J128" s="225"/>
      <c r="M128" s="485"/>
    </row>
    <row r="129" spans="1:13" s="223" customFormat="1" ht="15.75">
      <c r="A129" s="226"/>
      <c r="C129" s="525"/>
      <c r="D129" s="383"/>
      <c r="E129" s="528">
        <f>(0.16/2.97)*3</f>
        <v>0.1616161616161616</v>
      </c>
      <c r="F129" s="374">
        <f>D130*14000</f>
        <v>4970000</v>
      </c>
      <c r="G129" s="374">
        <f>F129*E129</f>
        <v>803232.32323232316</v>
      </c>
      <c r="H129" s="225">
        <f>E129*D130</f>
        <v>57.37373737373737</v>
      </c>
      <c r="I129" s="225"/>
      <c r="J129" s="225"/>
      <c r="M129" s="485"/>
    </row>
    <row r="130" spans="1:13" s="223" customFormat="1" ht="15.75">
      <c r="A130" s="226"/>
      <c r="C130" s="525" t="s">
        <v>481</v>
      </c>
      <c r="D130" s="383">
        <v>355</v>
      </c>
      <c r="E130" s="384">
        <f>E129</f>
        <v>0.1616161616161616</v>
      </c>
      <c r="F130" s="374">
        <v>4000</v>
      </c>
      <c r="G130" s="374">
        <f>F130*E130*D130</f>
        <v>229494.94949494948</v>
      </c>
      <c r="H130" s="909"/>
      <c r="I130" s="225"/>
      <c r="J130" s="225"/>
      <c r="M130" s="485"/>
    </row>
    <row r="131" spans="1:13" s="223" customFormat="1" ht="15.75">
      <c r="A131" s="226"/>
      <c r="C131" s="525" t="s">
        <v>482</v>
      </c>
      <c r="D131" s="530"/>
      <c r="E131" s="528">
        <f>(0.0135/2.97)*3</f>
        <v>1.3636363636363636E-2</v>
      </c>
      <c r="F131" s="374">
        <f>D132*14000</f>
        <v>3944360</v>
      </c>
      <c r="G131" s="374">
        <f>F131*E131</f>
        <v>53786.727272727272</v>
      </c>
      <c r="H131" s="225">
        <f>E131*D132</f>
        <v>3.8419090909090907</v>
      </c>
      <c r="I131" s="225"/>
      <c r="J131" s="225"/>
      <c r="M131" s="485"/>
    </row>
    <row r="132" spans="1:13" s="223" customFormat="1" ht="15.75">
      <c r="A132" s="226"/>
      <c r="C132" s="531"/>
      <c r="D132" s="530">
        <v>281.74</v>
      </c>
      <c r="E132" s="384">
        <f>E131</f>
        <v>1.3636363636363636E-2</v>
      </c>
      <c r="F132" s="374">
        <v>4000</v>
      </c>
      <c r="G132" s="374">
        <f>F132*E132*D132</f>
        <v>15367.636363636362</v>
      </c>
      <c r="H132" s="909"/>
      <c r="I132" s="225"/>
      <c r="J132" s="225"/>
      <c r="M132" s="485"/>
    </row>
    <row r="133" spans="1:13" s="223" customFormat="1" ht="15.75">
      <c r="A133" s="226"/>
      <c r="C133" s="531"/>
      <c r="D133" s="530"/>
      <c r="E133" s="384"/>
      <c r="F133" s="374"/>
      <c r="G133" s="374">
        <f>SUM(G127:G132)</f>
        <v>26065001.636363637</v>
      </c>
      <c r="H133" s="909">
        <f>SUM(H127:H132)</f>
        <v>1448.0556464646465</v>
      </c>
      <c r="I133" s="225">
        <f>G133/H133</f>
        <v>18000</v>
      </c>
      <c r="J133" s="225"/>
      <c r="M133" s="485"/>
    </row>
    <row r="134" spans="1:13" s="223" customFormat="1" ht="15.75">
      <c r="A134" s="226"/>
      <c r="C134" s="531"/>
      <c r="D134" s="530"/>
      <c r="E134" s="384"/>
      <c r="F134" s="374"/>
      <c r="G134" s="374"/>
      <c r="H134" s="909"/>
      <c r="I134" s="225"/>
      <c r="J134" s="225"/>
      <c r="M134" s="485"/>
    </row>
    <row r="135" spans="1:13" s="223" customFormat="1">
      <c r="A135" s="226"/>
      <c r="B135" s="910" t="s">
        <v>844</v>
      </c>
      <c r="C135" s="223" t="s">
        <v>843</v>
      </c>
      <c r="E135" s="223">
        <f>(7.5*5)/8</f>
        <v>4.6875</v>
      </c>
      <c r="F135" s="374">
        <f>D136*14000</f>
        <v>11094720</v>
      </c>
      <c r="G135" s="374">
        <f>F135*E135</f>
        <v>52006500</v>
      </c>
      <c r="H135" s="225">
        <f>E135*D136</f>
        <v>3714.75</v>
      </c>
      <c r="I135" s="225"/>
      <c r="J135" s="225"/>
      <c r="M135" s="485"/>
    </row>
    <row r="136" spans="1:13" s="223" customFormat="1" ht="15.75">
      <c r="A136" s="226"/>
      <c r="B136" s="321"/>
      <c r="C136" s="525"/>
      <c r="D136" s="526">
        <v>792.48</v>
      </c>
      <c r="E136" s="527">
        <f>E135</f>
        <v>4.6875</v>
      </c>
      <c r="F136" s="528">
        <v>4000</v>
      </c>
      <c r="G136" s="374">
        <f>F136*E136*D136</f>
        <v>14859000</v>
      </c>
      <c r="H136" s="909"/>
      <c r="I136" s="225"/>
      <c r="J136" s="225"/>
      <c r="M136" s="485"/>
    </row>
    <row r="137" spans="1:13" s="223" customFormat="1" ht="15.75">
      <c r="A137" s="226"/>
      <c r="B137" s="321"/>
      <c r="C137" s="525"/>
      <c r="D137" s="383"/>
      <c r="E137" s="528">
        <f>(0.16/2.97)*8</f>
        <v>0.43097643097643096</v>
      </c>
      <c r="F137" s="374">
        <f>D138*14000</f>
        <v>4970000</v>
      </c>
      <c r="G137" s="374">
        <f>F137*E137</f>
        <v>2141952.8619528618</v>
      </c>
      <c r="H137" s="225">
        <f>E137*D138</f>
        <v>152.996632996633</v>
      </c>
      <c r="I137" s="225"/>
      <c r="J137" s="225"/>
      <c r="M137" s="485"/>
    </row>
    <row r="138" spans="1:13" s="223" customFormat="1" ht="15.75">
      <c r="A138" s="226"/>
      <c r="B138" s="321"/>
      <c r="C138" s="525" t="s">
        <v>481</v>
      </c>
      <c r="D138" s="383">
        <v>355</v>
      </c>
      <c r="E138" s="384">
        <f>E137</f>
        <v>0.43097643097643096</v>
      </c>
      <c r="F138" s="374">
        <v>4000</v>
      </c>
      <c r="G138" s="374">
        <f>F138*E138*D138</f>
        <v>611986.53198653192</v>
      </c>
      <c r="H138" s="909"/>
      <c r="I138" s="225"/>
      <c r="J138" s="225"/>
      <c r="M138" s="485"/>
    </row>
    <row r="139" spans="1:13" s="223" customFormat="1" ht="15.75">
      <c r="A139" s="226"/>
      <c r="B139" s="321"/>
      <c r="C139" s="525" t="s">
        <v>482</v>
      </c>
      <c r="D139" s="530"/>
      <c r="E139" s="528">
        <f>(0.0135/2.97)*8</f>
        <v>3.6363636363636362E-2</v>
      </c>
      <c r="F139" s="374">
        <f>D140*14000</f>
        <v>3944360</v>
      </c>
      <c r="G139" s="374">
        <f>F139*E139</f>
        <v>143431.27272727271</v>
      </c>
      <c r="H139" s="225">
        <f>E139*D140</f>
        <v>10.245090909090909</v>
      </c>
      <c r="I139" s="225"/>
      <c r="J139" s="225"/>
      <c r="M139" s="485"/>
    </row>
    <row r="140" spans="1:13" s="223" customFormat="1" ht="15.75">
      <c r="A140" s="226"/>
      <c r="C140" s="531"/>
      <c r="D140" s="530">
        <v>281.74</v>
      </c>
      <c r="E140" s="384">
        <f>E139</f>
        <v>3.6363636363636362E-2</v>
      </c>
      <c r="F140" s="374">
        <v>4000</v>
      </c>
      <c r="G140" s="374">
        <f>F140*E140*D140</f>
        <v>40980.363636363632</v>
      </c>
      <c r="H140" s="909"/>
      <c r="I140" s="225"/>
      <c r="J140" s="225"/>
      <c r="M140" s="485"/>
    </row>
    <row r="141" spans="1:13" s="223" customFormat="1" ht="15.75">
      <c r="A141" s="226"/>
      <c r="C141" s="531"/>
      <c r="D141" s="530"/>
      <c r="E141" s="384"/>
      <c r="F141" s="374"/>
      <c r="G141" s="374">
        <f>SUM(G135:G140)</f>
        <v>69803851.030303016</v>
      </c>
      <c r="H141" s="909">
        <f>SUM(H135:H140)</f>
        <v>3877.9917239057236</v>
      </c>
      <c r="I141" s="225">
        <f>G141/H141</f>
        <v>17999.999999999996</v>
      </c>
      <c r="J141" s="225"/>
      <c r="M141" s="485"/>
    </row>
    <row r="142" spans="1:13" s="223" customFormat="1" ht="15.75">
      <c r="A142" s="226"/>
      <c r="C142" s="531"/>
      <c r="D142" s="530"/>
      <c r="E142" s="384"/>
      <c r="F142" s="374"/>
      <c r="G142" s="374"/>
      <c r="H142" s="909"/>
      <c r="I142" s="225"/>
      <c r="J142" s="225"/>
      <c r="M142" s="485"/>
    </row>
    <row r="143" spans="1:13" s="223" customFormat="1">
      <c r="A143" s="226"/>
      <c r="B143" s="910" t="s">
        <v>842</v>
      </c>
      <c r="C143" s="223" t="s">
        <v>843</v>
      </c>
      <c r="E143" s="223">
        <f>(7.5*5)/6</f>
        <v>6.25</v>
      </c>
      <c r="F143" s="374">
        <f>D144*14000</f>
        <v>11094720</v>
      </c>
      <c r="G143" s="374">
        <f>F143*E143</f>
        <v>69342000</v>
      </c>
      <c r="H143" s="225">
        <f>E143*D144</f>
        <v>4953</v>
      </c>
      <c r="I143" s="225"/>
      <c r="J143" s="225"/>
      <c r="M143" s="485"/>
    </row>
    <row r="144" spans="1:13" s="223" customFormat="1" ht="15.75">
      <c r="A144" s="226"/>
      <c r="B144" s="321"/>
      <c r="C144" s="525"/>
      <c r="D144" s="526">
        <v>792.48</v>
      </c>
      <c r="E144" s="527">
        <f>E143</f>
        <v>6.25</v>
      </c>
      <c r="F144" s="528">
        <v>4000</v>
      </c>
      <c r="G144" s="374">
        <f>F144*E144*D144</f>
        <v>19812000</v>
      </c>
      <c r="H144" s="909"/>
      <c r="I144" s="225"/>
      <c r="J144" s="225"/>
      <c r="M144" s="485"/>
    </row>
    <row r="145" spans="1:13" s="223" customFormat="1" ht="15.75">
      <c r="A145" s="226"/>
      <c r="B145" s="321"/>
      <c r="C145" s="525"/>
      <c r="D145" s="383"/>
      <c r="E145" s="528">
        <f>(0.16/2.97)*6</f>
        <v>0.3232323232323232</v>
      </c>
      <c r="F145" s="374">
        <f>D146*14000</f>
        <v>4970000</v>
      </c>
      <c r="G145" s="374">
        <f>F145*E145</f>
        <v>1606464.6464646463</v>
      </c>
      <c r="H145" s="225">
        <f>E145*D146</f>
        <v>114.74747474747474</v>
      </c>
      <c r="I145" s="225"/>
      <c r="J145" s="225"/>
      <c r="M145" s="485"/>
    </row>
    <row r="146" spans="1:13" s="223" customFormat="1" ht="15.75">
      <c r="A146" s="226"/>
      <c r="B146" s="321"/>
      <c r="C146" s="525" t="s">
        <v>481</v>
      </c>
      <c r="D146" s="383">
        <v>355</v>
      </c>
      <c r="E146" s="384">
        <f>E145</f>
        <v>0.3232323232323232</v>
      </c>
      <c r="F146" s="374">
        <v>4000</v>
      </c>
      <c r="G146" s="374">
        <f>F146*E146*D146</f>
        <v>458989.89898989897</v>
      </c>
      <c r="H146" s="909"/>
      <c r="I146" s="225"/>
      <c r="J146" s="225"/>
      <c r="M146" s="485"/>
    </row>
    <row r="147" spans="1:13" s="223" customFormat="1" ht="15.75">
      <c r="A147" s="226"/>
      <c r="B147" s="321"/>
      <c r="C147" s="525" t="s">
        <v>482</v>
      </c>
      <c r="D147" s="530"/>
      <c r="E147" s="528">
        <f>(0.0135/2.97)*6</f>
        <v>2.7272727272727271E-2</v>
      </c>
      <c r="F147" s="374">
        <f>D148*14000</f>
        <v>3944360</v>
      </c>
      <c r="G147" s="374">
        <f>F147*E147</f>
        <v>107573.45454545454</v>
      </c>
      <c r="H147" s="225">
        <f>E147*D148</f>
        <v>7.6838181818181814</v>
      </c>
      <c r="I147" s="225"/>
      <c r="J147" s="225"/>
      <c r="M147" s="485"/>
    </row>
    <row r="148" spans="1:13" s="223" customFormat="1" ht="15.75">
      <c r="A148" s="226"/>
      <c r="C148" s="531"/>
      <c r="D148" s="530">
        <v>281.74</v>
      </c>
      <c r="E148" s="384">
        <f>E147</f>
        <v>2.7272727272727271E-2</v>
      </c>
      <c r="F148" s="374">
        <v>4000</v>
      </c>
      <c r="G148" s="374">
        <f>F148*E148*D148</f>
        <v>30735.272727272724</v>
      </c>
      <c r="H148" s="909"/>
      <c r="I148" s="225"/>
      <c r="J148" s="225"/>
      <c r="M148" s="485"/>
    </row>
    <row r="149" spans="1:13" s="223" customFormat="1" ht="15.75">
      <c r="A149" s="226"/>
      <c r="C149" s="531"/>
      <c r="D149" s="530"/>
      <c r="E149" s="384"/>
      <c r="F149" s="374"/>
      <c r="G149" s="374">
        <f>SUM(G143:G148)</f>
        <v>91357763.272727266</v>
      </c>
      <c r="H149" s="909">
        <f>SUM(H143:H148)</f>
        <v>5075.4312929292928</v>
      </c>
      <c r="I149" s="225">
        <f>G149/H149</f>
        <v>18000</v>
      </c>
      <c r="J149" s="225"/>
      <c r="M149" s="485"/>
    </row>
    <row r="150" spans="1:13" s="223" customFormat="1" ht="15.75">
      <c r="A150" s="226"/>
      <c r="C150" s="531"/>
      <c r="D150" s="530"/>
      <c r="E150" s="384"/>
      <c r="F150" s="374"/>
      <c r="G150" s="374"/>
      <c r="H150" s="909"/>
      <c r="I150" s="225"/>
      <c r="J150" s="225"/>
      <c r="M150" s="485"/>
    </row>
    <row r="151" spans="1:13" s="223" customFormat="1">
      <c r="A151" s="226"/>
      <c r="B151" s="910" t="s">
        <v>842</v>
      </c>
      <c r="C151" s="223" t="s">
        <v>841</v>
      </c>
      <c r="E151" s="223">
        <f>(7.5*5)/2</f>
        <v>18.75</v>
      </c>
      <c r="F151" s="374">
        <f>D152*14000</f>
        <v>11094720</v>
      </c>
      <c r="G151" s="374">
        <f>F151*E151</f>
        <v>208026000</v>
      </c>
      <c r="H151" s="225">
        <f>E151*D152</f>
        <v>14859</v>
      </c>
      <c r="I151" s="225"/>
      <c r="J151" s="225"/>
      <c r="M151" s="485"/>
    </row>
    <row r="152" spans="1:13" s="223" customFormat="1" ht="15.75">
      <c r="A152" s="226"/>
      <c r="B152" s="321"/>
      <c r="C152" s="525"/>
      <c r="D152" s="526">
        <v>792.48</v>
      </c>
      <c r="E152" s="527">
        <f>E151</f>
        <v>18.75</v>
      </c>
      <c r="F152" s="528">
        <v>4000</v>
      </c>
      <c r="G152" s="374">
        <f>F152*E152*D152</f>
        <v>59436000</v>
      </c>
      <c r="H152" s="909"/>
      <c r="I152" s="225"/>
      <c r="J152" s="225"/>
      <c r="M152" s="485"/>
    </row>
    <row r="153" spans="1:13" s="223" customFormat="1" ht="15.75">
      <c r="A153" s="226"/>
      <c r="B153" s="321"/>
      <c r="C153" s="525"/>
      <c r="D153" s="383"/>
      <c r="E153" s="528">
        <f>(0.16/2.97)*2</f>
        <v>0.10774410774410774</v>
      </c>
      <c r="F153" s="374">
        <f>D154*14000</f>
        <v>4970000</v>
      </c>
      <c r="G153" s="374">
        <f>F153*E153</f>
        <v>535488.21548821544</v>
      </c>
      <c r="H153" s="225">
        <f>E153*D154</f>
        <v>38.249158249158249</v>
      </c>
      <c r="I153" s="225"/>
      <c r="J153" s="225"/>
      <c r="M153" s="485"/>
    </row>
    <row r="154" spans="1:13" s="223" customFormat="1" ht="15.75">
      <c r="A154" s="226"/>
      <c r="B154" s="321"/>
      <c r="C154" s="525" t="s">
        <v>481</v>
      </c>
      <c r="D154" s="383">
        <v>355</v>
      </c>
      <c r="E154" s="384">
        <f>E153</f>
        <v>0.10774410774410774</v>
      </c>
      <c r="F154" s="374">
        <v>4000</v>
      </c>
      <c r="G154" s="374">
        <f>F154*E154*D154</f>
        <v>152996.63299663298</v>
      </c>
      <c r="H154" s="909"/>
      <c r="I154" s="225"/>
      <c r="J154" s="225"/>
      <c r="M154" s="485"/>
    </row>
    <row r="155" spans="1:13" s="223" customFormat="1" ht="15.75">
      <c r="A155" s="226"/>
      <c r="B155" s="321"/>
      <c r="C155" s="525" t="s">
        <v>482</v>
      </c>
      <c r="D155" s="530"/>
      <c r="E155" s="528">
        <f>(0.0135/2.97)*2</f>
        <v>9.0909090909090905E-3</v>
      </c>
      <c r="F155" s="374">
        <f>D156*14000</f>
        <v>3944360</v>
      </c>
      <c r="G155" s="374">
        <f>F155*E155</f>
        <v>35857.818181818177</v>
      </c>
      <c r="H155" s="225">
        <f>E155*D156</f>
        <v>2.5612727272727271</v>
      </c>
      <c r="I155" s="225"/>
      <c r="J155" s="225"/>
      <c r="M155" s="485"/>
    </row>
    <row r="156" spans="1:13" s="223" customFormat="1" ht="15.75">
      <c r="A156" s="226"/>
      <c r="C156" s="531"/>
      <c r="D156" s="530">
        <v>281.74</v>
      </c>
      <c r="E156" s="384">
        <f>E155</f>
        <v>9.0909090909090905E-3</v>
      </c>
      <c r="F156" s="374">
        <v>4000</v>
      </c>
      <c r="G156" s="374">
        <f>F156*E156*D156</f>
        <v>10245.090909090908</v>
      </c>
      <c r="H156" s="909"/>
      <c r="I156" s="225"/>
      <c r="J156" s="225"/>
      <c r="M156" s="485"/>
    </row>
    <row r="157" spans="1:13" s="223" customFormat="1" ht="15.75">
      <c r="A157" s="226"/>
      <c r="C157" s="531"/>
      <c r="D157" s="530"/>
      <c r="E157" s="384"/>
      <c r="F157" s="374"/>
      <c r="G157" s="374">
        <f>SUM(G151:G156)</f>
        <v>268196587.75757575</v>
      </c>
      <c r="H157" s="909">
        <f>SUM(H151:H156)</f>
        <v>14899.810430976431</v>
      </c>
      <c r="I157" s="225">
        <f>G157/H157</f>
        <v>18000</v>
      </c>
      <c r="J157" s="225"/>
      <c r="M157" s="485"/>
    </row>
    <row r="158" spans="1:13" s="223" customFormat="1" ht="15.75">
      <c r="A158" s="226"/>
      <c r="C158" s="531"/>
      <c r="D158" s="530"/>
      <c r="E158" s="384"/>
      <c r="F158" s="374"/>
      <c r="G158" s="374"/>
      <c r="H158" s="909"/>
      <c r="I158" s="225"/>
      <c r="J158" s="225"/>
      <c r="M158" s="485"/>
    </row>
    <row r="159" spans="1:13" s="223" customFormat="1" ht="15.75">
      <c r="A159" s="226"/>
      <c r="C159" s="531"/>
      <c r="D159" s="530"/>
      <c r="E159" s="384"/>
      <c r="F159" s="374"/>
      <c r="G159" s="374"/>
      <c r="H159" s="909"/>
      <c r="I159" s="225"/>
      <c r="J159" s="225"/>
      <c r="M159" s="485"/>
    </row>
    <row r="160" spans="1:13" s="223" customFormat="1" ht="15.75">
      <c r="A160" s="226"/>
      <c r="C160" s="531"/>
      <c r="D160" s="530"/>
      <c r="E160" s="384"/>
      <c r="F160" s="374"/>
      <c r="G160" s="374"/>
      <c r="H160" s="909"/>
      <c r="I160" s="225"/>
      <c r="J160" s="225"/>
      <c r="M160" s="485"/>
    </row>
    <row r="161" spans="1:13" s="223" customFormat="1" ht="15.75">
      <c r="A161" s="226"/>
      <c r="C161" s="531"/>
      <c r="D161" s="530"/>
      <c r="E161" s="384"/>
      <c r="F161" s="374"/>
      <c r="G161" s="374"/>
      <c r="H161" s="909"/>
      <c r="I161" s="225"/>
      <c r="J161" s="225"/>
      <c r="M161" s="485"/>
    </row>
    <row r="162" spans="1:13" s="223" customFormat="1" ht="15.75">
      <c r="A162" s="226"/>
      <c r="C162" s="531"/>
      <c r="D162" s="530"/>
      <c r="E162" s="384"/>
      <c r="F162" s="374"/>
      <c r="G162" s="374"/>
      <c r="H162" s="908"/>
      <c r="I162" s="225"/>
      <c r="J162" s="225"/>
      <c r="M162" s="485"/>
    </row>
    <row r="163" spans="1:13" s="223" customFormat="1" ht="15.75">
      <c r="A163" s="226"/>
      <c r="C163" s="246" t="s">
        <v>836</v>
      </c>
      <c r="D163" s="530"/>
      <c r="E163" s="384">
        <v>4</v>
      </c>
      <c r="F163" s="383">
        <v>140000</v>
      </c>
      <c r="G163" s="374">
        <f>F163*E163</f>
        <v>560000</v>
      </c>
      <c r="H163" s="908"/>
      <c r="I163" s="225"/>
      <c r="J163" s="225"/>
      <c r="M163" s="485"/>
    </row>
    <row r="164" spans="1:13" s="223" customFormat="1" ht="15.75">
      <c r="A164" s="226"/>
      <c r="C164" s="246" t="s">
        <v>494</v>
      </c>
      <c r="D164" s="531"/>
      <c r="E164" s="533">
        <v>4</v>
      </c>
      <c r="F164" s="531">
        <v>153000</v>
      </c>
      <c r="G164" s="374">
        <f>F164*E164</f>
        <v>612000</v>
      </c>
      <c r="H164" s="908"/>
      <c r="I164" s="225"/>
      <c r="J164" s="225"/>
      <c r="M164" s="485"/>
    </row>
    <row r="165" spans="1:13" s="223" customFormat="1">
      <c r="A165" s="226"/>
      <c r="C165" s="531"/>
      <c r="D165" s="531"/>
      <c r="E165" s="533"/>
      <c r="F165" s="531"/>
      <c r="G165" s="556">
        <f>SUM(G107:G164)</f>
        <v>1108283290.7878788</v>
      </c>
      <c r="H165" s="225"/>
      <c r="I165" s="225"/>
      <c r="J165" s="225"/>
      <c r="M165" s="485"/>
    </row>
    <row r="166" spans="1:13" s="223" customFormat="1">
      <c r="A166" s="226"/>
      <c r="C166" s="223" t="s">
        <v>840</v>
      </c>
      <c r="E166" s="223">
        <f>9.85/6</f>
        <v>1.6416666666666666</v>
      </c>
      <c r="F166" s="374">
        <f>D167*14000</f>
        <v>1114820</v>
      </c>
      <c r="G166" s="374">
        <f>F166*E166</f>
        <v>1830162.8333333333</v>
      </c>
      <c r="H166" s="225"/>
      <c r="I166" s="225"/>
      <c r="J166" s="225"/>
      <c r="M166" s="485"/>
    </row>
    <row r="167" spans="1:13" s="223" customFormat="1" ht="15.75">
      <c r="A167" s="226"/>
      <c r="C167" s="525"/>
      <c r="D167" s="526">
        <v>79.63</v>
      </c>
      <c r="E167" s="527">
        <f>E166</f>
        <v>1.6416666666666666</v>
      </c>
      <c r="F167" s="528">
        <v>4000</v>
      </c>
      <c r="G167" s="374">
        <f>F167*E167*D167</f>
        <v>522903.66666666657</v>
      </c>
      <c r="H167" s="225"/>
      <c r="I167" s="225"/>
      <c r="J167" s="225"/>
      <c r="M167" s="485"/>
    </row>
    <row r="168" spans="1:13" s="223" customFormat="1" ht="15.75">
      <c r="A168" s="226"/>
      <c r="C168" s="525" t="s">
        <v>839</v>
      </c>
      <c r="D168" s="530"/>
      <c r="E168" s="528">
        <f>0.0135/2.97</f>
        <v>4.5454545454545452E-3</v>
      </c>
      <c r="F168" s="374">
        <f>D169*14000</f>
        <v>25522000</v>
      </c>
      <c r="G168" s="374">
        <f>F168*E168</f>
        <v>116009.0909090909</v>
      </c>
      <c r="H168" s="225"/>
      <c r="I168" s="225"/>
      <c r="J168" s="225"/>
      <c r="M168" s="485"/>
    </row>
    <row r="169" spans="1:13" s="223" customFormat="1">
      <c r="A169" s="226"/>
      <c r="C169" s="531"/>
      <c r="D169" s="530">
        <v>1823</v>
      </c>
      <c r="E169" s="384">
        <f>E168</f>
        <v>4.5454545454545452E-3</v>
      </c>
      <c r="F169" s="374">
        <v>4000</v>
      </c>
      <c r="G169" s="374">
        <f>F169*E169*D169</f>
        <v>33145.454545454544</v>
      </c>
      <c r="H169" s="225"/>
      <c r="I169" s="225"/>
      <c r="J169" s="225"/>
      <c r="M169" s="485"/>
    </row>
    <row r="170" spans="1:13" s="223" customFormat="1" ht="15.75">
      <c r="A170" s="226"/>
      <c r="C170" s="246" t="s">
        <v>836</v>
      </c>
      <c r="D170" s="530"/>
      <c r="E170" s="384">
        <v>4</v>
      </c>
      <c r="F170" s="383">
        <v>140000</v>
      </c>
      <c r="G170" s="374">
        <f>F170*E170</f>
        <v>560000</v>
      </c>
      <c r="H170" s="225"/>
      <c r="I170" s="225"/>
      <c r="J170" s="225"/>
      <c r="M170" s="485"/>
    </row>
    <row r="171" spans="1:13" s="223" customFormat="1" ht="15.75">
      <c r="A171" s="226"/>
      <c r="C171" s="246" t="s">
        <v>494</v>
      </c>
      <c r="D171" s="531"/>
      <c r="E171" s="533">
        <v>4</v>
      </c>
      <c r="F171" s="531">
        <v>153000</v>
      </c>
      <c r="G171" s="374">
        <f>F171*E171</f>
        <v>612000</v>
      </c>
      <c r="H171" s="225"/>
      <c r="I171" s="225"/>
      <c r="J171" s="225"/>
      <c r="M171" s="485"/>
    </row>
    <row r="172" spans="1:13" s="223" customFormat="1">
      <c r="A172" s="226"/>
      <c r="C172" s="531"/>
      <c r="D172" s="531"/>
      <c r="E172" s="533"/>
      <c r="F172" s="531"/>
      <c r="G172" s="556">
        <f>SUM(G166:G171)</f>
        <v>3674221.0454545454</v>
      </c>
      <c r="H172" s="225"/>
      <c r="I172" s="225"/>
      <c r="J172" s="225"/>
      <c r="M172" s="485"/>
    </row>
    <row r="173" spans="1:13" s="223" customFormat="1">
      <c r="A173" s="226"/>
      <c r="D173" s="230"/>
      <c r="E173" s="230"/>
      <c r="F173" s="230"/>
      <c r="G173" s="225"/>
      <c r="H173" s="225"/>
      <c r="I173" s="225"/>
      <c r="J173" s="225"/>
      <c r="M173" s="485"/>
    </row>
    <row r="174" spans="1:13" s="223" customFormat="1">
      <c r="A174" s="226"/>
      <c r="D174" s="230"/>
      <c r="E174" s="230"/>
      <c r="F174" s="230"/>
      <c r="G174" s="225"/>
      <c r="H174" s="225"/>
      <c r="I174" s="225"/>
      <c r="J174" s="225"/>
      <c r="M174" s="485"/>
    </row>
    <row r="175" spans="1:13" s="223" customFormat="1">
      <c r="A175" s="226"/>
      <c r="M175" s="485"/>
    </row>
    <row r="176" spans="1:13" s="223" customFormat="1">
      <c r="A176" s="226"/>
      <c r="M176" s="485"/>
    </row>
    <row r="177" spans="1:13" s="223" customFormat="1">
      <c r="A177" s="226"/>
      <c r="M177" s="485"/>
    </row>
    <row r="178" spans="1:13" s="223" customFormat="1">
      <c r="A178" s="226"/>
      <c r="M178" s="485"/>
    </row>
    <row r="179" spans="1:13" s="223" customFormat="1">
      <c r="A179" s="226"/>
      <c r="M179" s="485"/>
    </row>
    <row r="180" spans="1:13" s="223" customFormat="1">
      <c r="A180" s="226"/>
      <c r="D180" s="230"/>
      <c r="E180" s="230"/>
      <c r="G180" s="230"/>
      <c r="M180" s="485"/>
    </row>
    <row r="181" spans="1:13" s="223" customFormat="1">
      <c r="A181" s="226"/>
      <c r="D181" s="230"/>
      <c r="E181" s="230"/>
      <c r="G181" s="230"/>
      <c r="M181" s="485"/>
    </row>
    <row r="182" spans="1:13" s="223" customFormat="1">
      <c r="A182" s="226"/>
      <c r="D182" s="230"/>
      <c r="E182" s="230"/>
      <c r="G182" s="230"/>
      <c r="M182" s="485"/>
    </row>
    <row r="183" spans="1:13" s="223" customFormat="1">
      <c r="A183" s="226"/>
      <c r="D183" s="230"/>
      <c r="E183" s="230"/>
      <c r="G183" s="230"/>
      <c r="M183" s="485"/>
    </row>
    <row r="184" spans="1:13" s="223" customFormat="1">
      <c r="A184" s="226"/>
      <c r="D184" s="230"/>
      <c r="E184" s="230"/>
      <c r="G184" s="230"/>
      <c r="M184" s="485"/>
    </row>
    <row r="185" spans="1:13" s="223" customFormat="1">
      <c r="A185" s="226"/>
      <c r="D185" s="230"/>
      <c r="E185" s="230"/>
      <c r="G185" s="230"/>
      <c r="M185" s="485"/>
    </row>
    <row r="186" spans="1:13" s="223" customFormat="1" ht="15.75">
      <c r="A186" s="226"/>
      <c r="C186" s="296" t="s">
        <v>838</v>
      </c>
      <c r="D186" s="531"/>
      <c r="E186" s="533"/>
      <c r="F186" s="531"/>
      <c r="G186" s="374"/>
      <c r="M186" s="485"/>
    </row>
    <row r="187" spans="1:13" s="223" customFormat="1">
      <c r="A187" s="226"/>
      <c r="C187" s="555" t="s">
        <v>492</v>
      </c>
      <c r="D187" s="383"/>
      <c r="E187" s="384">
        <f>1/12</f>
        <v>8.3333333333333329E-2</v>
      </c>
      <c r="F187" s="374">
        <f>D188*14000</f>
        <v>4970000</v>
      </c>
      <c r="G187" s="374">
        <f>F187*E187</f>
        <v>414166.66666666663</v>
      </c>
      <c r="M187" s="485"/>
    </row>
    <row r="188" spans="1:13" s="223" customFormat="1">
      <c r="A188" s="226"/>
      <c r="C188" s="383"/>
      <c r="D188" s="383">
        <v>355</v>
      </c>
      <c r="E188" s="384">
        <f>E187</f>
        <v>8.3333333333333329E-2</v>
      </c>
      <c r="F188" s="374">
        <v>4000</v>
      </c>
      <c r="G188" s="374">
        <f>F188*E188*D188</f>
        <v>118333.33333333333</v>
      </c>
      <c r="M188" s="485"/>
    </row>
    <row r="189" spans="1:13" ht="15.75">
      <c r="C189" s="525" t="s">
        <v>493</v>
      </c>
      <c r="D189" s="383"/>
      <c r="E189" s="384">
        <f>0.6/2.97</f>
        <v>0.20202020202020199</v>
      </c>
      <c r="F189" s="374">
        <f>D190*14000</f>
        <v>3934000</v>
      </c>
      <c r="G189" s="374">
        <f>F189*E189</f>
        <v>794747.47474747465</v>
      </c>
    </row>
    <row r="190" spans="1:13">
      <c r="C190" s="531"/>
      <c r="D190" s="531">
        <v>281</v>
      </c>
      <c r="E190" s="533">
        <f>E189</f>
        <v>0.20202020202020199</v>
      </c>
      <c r="F190" s="531">
        <v>4000</v>
      </c>
      <c r="G190" s="374">
        <f>F190*E190*D190</f>
        <v>227070.70707070705</v>
      </c>
    </row>
    <row r="191" spans="1:13" s="223" customFormat="1" ht="15.75">
      <c r="A191" s="226"/>
      <c r="C191" s="246" t="s">
        <v>494</v>
      </c>
      <c r="D191" s="531"/>
      <c r="E191" s="533">
        <v>6</v>
      </c>
      <c r="F191" s="531">
        <v>70000</v>
      </c>
      <c r="G191" s="374">
        <f>F191*E191</f>
        <v>420000</v>
      </c>
      <c r="M191" s="485"/>
    </row>
    <row r="192" spans="1:13" s="223" customFormat="1">
      <c r="A192" s="226"/>
      <c r="B192" s="231"/>
      <c r="C192" s="531"/>
      <c r="D192" s="531"/>
      <c r="E192" s="533"/>
      <c r="F192" s="531"/>
      <c r="G192" s="556">
        <f>SUM(G187:G191)</f>
        <v>1974318.1818181819</v>
      </c>
      <c r="M192" s="485"/>
    </row>
    <row r="193" spans="1:13" s="223" customFormat="1">
      <c r="A193" s="226"/>
      <c r="B193" s="231"/>
      <c r="C193" s="336"/>
      <c r="M193" s="485"/>
    </row>
    <row r="194" spans="1:13" s="223" customFormat="1" ht="15.75">
      <c r="A194" s="226"/>
      <c r="B194" s="337"/>
      <c r="C194" s="296" t="s">
        <v>837</v>
      </c>
      <c r="D194" s="531"/>
      <c r="E194" s="533"/>
      <c r="F194" s="531"/>
      <c r="G194" s="374"/>
      <c r="I194" s="235"/>
      <c r="J194" s="227"/>
      <c r="M194" s="485"/>
    </row>
    <row r="195" spans="1:13" s="223" customFormat="1">
      <c r="A195" s="226"/>
      <c r="B195" s="245"/>
      <c r="C195" s="555" t="s">
        <v>492</v>
      </c>
      <c r="D195" s="383"/>
      <c r="E195" s="384">
        <f>1/12</f>
        <v>8.3333333333333329E-2</v>
      </c>
      <c r="F195" s="374">
        <f>D196*14000</f>
        <v>4970000</v>
      </c>
      <c r="G195" s="374">
        <f>F195*E195</f>
        <v>414166.66666666663</v>
      </c>
      <c r="M195" s="485"/>
    </row>
    <row r="196" spans="1:13" s="223" customFormat="1">
      <c r="A196" s="226"/>
      <c r="C196" s="383"/>
      <c r="D196" s="383">
        <v>355</v>
      </c>
      <c r="E196" s="384">
        <f>E195</f>
        <v>8.3333333333333329E-2</v>
      </c>
      <c r="F196" s="374">
        <v>4000</v>
      </c>
      <c r="G196" s="374">
        <f>F196*E196*D196</f>
        <v>118333.33333333333</v>
      </c>
      <c r="M196" s="485"/>
    </row>
    <row r="197" spans="1:13" s="223" customFormat="1" ht="15.75">
      <c r="A197" s="226"/>
      <c r="B197" s="245"/>
      <c r="C197" s="525" t="s">
        <v>493</v>
      </c>
      <c r="D197" s="383"/>
      <c r="E197" s="384">
        <f>0.62/2.97</f>
        <v>0.20875420875420875</v>
      </c>
      <c r="F197" s="374">
        <f>D198*14000</f>
        <v>3944360</v>
      </c>
      <c r="G197" s="374">
        <f>F197*E197</f>
        <v>823401.75084175076</v>
      </c>
      <c r="M197" s="485"/>
    </row>
    <row r="198" spans="1:13" s="223" customFormat="1">
      <c r="A198" s="226"/>
      <c r="B198" s="245"/>
      <c r="C198" s="531"/>
      <c r="D198" s="531">
        <v>281.74</v>
      </c>
      <c r="E198" s="533">
        <f>E197</f>
        <v>0.20875420875420875</v>
      </c>
      <c r="F198" s="531">
        <v>4000</v>
      </c>
      <c r="G198" s="374">
        <f>F198*E198*D198</f>
        <v>235257.6430976431</v>
      </c>
      <c r="M198" s="485"/>
    </row>
    <row r="199" spans="1:13" s="223" customFormat="1" ht="15.75">
      <c r="A199" s="226"/>
      <c r="B199" s="245"/>
      <c r="C199" s="246" t="s">
        <v>494</v>
      </c>
      <c r="D199" s="531">
        <v>4</v>
      </c>
      <c r="E199" s="533">
        <v>12</v>
      </c>
      <c r="F199" s="531">
        <v>70000</v>
      </c>
      <c r="G199" s="374">
        <f>F199*E199</f>
        <v>840000</v>
      </c>
      <c r="M199" s="485"/>
    </row>
    <row r="200" spans="1:13" s="223" customFormat="1">
      <c r="A200" s="226"/>
      <c r="B200" s="245"/>
      <c r="C200" s="531"/>
      <c r="D200" s="531"/>
      <c r="E200" s="533"/>
      <c r="F200" s="531"/>
      <c r="G200" s="556">
        <f>SUM(G195:G199)</f>
        <v>2431159.3939393936</v>
      </c>
      <c r="M200" s="485"/>
    </row>
    <row r="201" spans="1:13" s="223" customFormat="1">
      <c r="A201" s="226"/>
      <c r="B201" s="245"/>
      <c r="C201" s="338"/>
      <c r="M201" s="485"/>
    </row>
    <row r="202" spans="1:13" s="223" customFormat="1">
      <c r="A202" s="226"/>
      <c r="B202" s="245"/>
      <c r="C202" s="338"/>
      <c r="M202" s="485"/>
    </row>
    <row r="203" spans="1:13" s="223" customFormat="1" ht="15.75">
      <c r="A203" s="226"/>
      <c r="B203" s="245"/>
      <c r="C203" s="525"/>
      <c r="D203" s="383"/>
      <c r="E203" s="528"/>
      <c r="F203" s="374"/>
      <c r="G203" s="374"/>
      <c r="I203" s="525" t="s">
        <v>481</v>
      </c>
      <c r="J203" s="383"/>
      <c r="K203" s="528">
        <f>0.16/2.97</f>
        <v>5.387205387205387E-2</v>
      </c>
      <c r="L203" s="374">
        <f>J204*14000</f>
        <v>25522000</v>
      </c>
      <c r="M203" s="374">
        <f>L203*K203</f>
        <v>1374922.5589225588</v>
      </c>
    </row>
    <row r="204" spans="1:13" s="223" customFormat="1">
      <c r="A204" s="226"/>
      <c r="B204" s="245"/>
      <c r="C204" s="531"/>
      <c r="D204" s="383"/>
      <c r="E204" s="384"/>
      <c r="F204" s="374"/>
      <c r="G204" s="374"/>
      <c r="I204" s="531"/>
      <c r="J204" s="383">
        <v>1823</v>
      </c>
      <c r="K204" s="384">
        <f>K203</f>
        <v>5.387205387205387E-2</v>
      </c>
      <c r="L204" s="374">
        <v>4000</v>
      </c>
      <c r="M204" s="374">
        <f>L204*K204*J204</f>
        <v>392835.01683501678</v>
      </c>
    </row>
    <row r="205" spans="1:13" s="223" customFormat="1" ht="15.75">
      <c r="A205" s="226"/>
      <c r="B205" s="245"/>
      <c r="C205" s="246"/>
      <c r="D205" s="383"/>
      <c r="E205" s="384"/>
      <c r="F205" s="383"/>
      <c r="G205" s="374"/>
      <c r="I205" s="246" t="s">
        <v>836</v>
      </c>
      <c r="J205" s="383"/>
      <c r="K205" s="384">
        <v>4</v>
      </c>
      <c r="L205" s="383">
        <v>140000</v>
      </c>
      <c r="M205" s="374">
        <f>L205*K205</f>
        <v>560000</v>
      </c>
    </row>
    <row r="206" spans="1:13" s="223" customFormat="1" ht="15.75">
      <c r="A206" s="226"/>
      <c r="B206" s="245"/>
      <c r="I206" s="246" t="s">
        <v>494</v>
      </c>
      <c r="J206" s="531"/>
      <c r="K206" s="533">
        <v>4</v>
      </c>
      <c r="L206" s="531">
        <v>153000</v>
      </c>
      <c r="M206" s="374">
        <f>L206*K206</f>
        <v>612000</v>
      </c>
    </row>
    <row r="207" spans="1:13" s="223" customFormat="1">
      <c r="A207" s="226"/>
      <c r="B207" s="245"/>
      <c r="H207" s="374"/>
      <c r="J207" s="531"/>
      <c r="K207" s="533"/>
      <c r="L207" s="531"/>
      <c r="M207" s="556">
        <f>SUM(M203:M206)</f>
        <v>2939757.5757575757</v>
      </c>
    </row>
    <row r="208" spans="1:13" s="223" customFormat="1">
      <c r="A208" s="226"/>
      <c r="B208" s="245"/>
      <c r="H208" s="383"/>
      <c r="M208" s="485"/>
    </row>
    <row r="209" spans="1:13" s="223" customFormat="1" ht="15.75">
      <c r="A209" s="226"/>
      <c r="B209" s="245"/>
      <c r="H209" s="374"/>
      <c r="I209" s="235" t="e">
        <f>G189/H207</f>
        <v>#DIV/0!</v>
      </c>
      <c r="M209" s="485"/>
    </row>
    <row r="210" spans="1:13" s="223" customFormat="1">
      <c r="A210" s="226"/>
      <c r="B210" s="245"/>
      <c r="M210" s="485"/>
    </row>
    <row r="211" spans="1:13" s="223" customFormat="1">
      <c r="A211" s="226"/>
      <c r="B211" s="245"/>
      <c r="M211" s="485"/>
    </row>
    <row r="212" spans="1:13" s="223" customFormat="1">
      <c r="A212" s="226"/>
      <c r="B212" s="245"/>
      <c r="M212" s="485"/>
    </row>
    <row r="213" spans="1:13" s="223" customFormat="1">
      <c r="A213" s="226"/>
      <c r="B213" s="245"/>
      <c r="C213" s="338"/>
      <c r="M213" s="485"/>
    </row>
    <row r="215" spans="1:13" s="223" customFormat="1" ht="18">
      <c r="A215" s="226"/>
      <c r="B215" s="347" t="s">
        <v>309</v>
      </c>
      <c r="C215" s="348" t="s">
        <v>310</v>
      </c>
      <c r="D215" s="349">
        <f>1*0.15*0.3</f>
        <v>4.4999999999999998E-2</v>
      </c>
      <c r="E215" s="350" t="s">
        <v>311</v>
      </c>
      <c r="F215" s="351"/>
      <c r="G215" s="352"/>
      <c r="H215" s="353"/>
      <c r="M215" s="485"/>
    </row>
    <row r="216" spans="1:13" s="223" customFormat="1" ht="16.5">
      <c r="A216" s="226"/>
      <c r="B216" s="347"/>
      <c r="C216" s="354" t="s">
        <v>234</v>
      </c>
      <c r="D216" s="355"/>
      <c r="E216" s="356"/>
      <c r="F216" s="357"/>
      <c r="G216" s="357"/>
      <c r="H216" s="353"/>
      <c r="M216" s="485"/>
    </row>
    <row r="217" spans="1:13" s="223" customFormat="1" ht="16.5">
      <c r="A217" s="226"/>
      <c r="B217" s="347"/>
      <c r="C217" s="354" t="s">
        <v>219</v>
      </c>
      <c r="D217" s="355">
        <f>D215*6</f>
        <v>0.27</v>
      </c>
      <c r="E217" s="356" t="s">
        <v>220</v>
      </c>
      <c r="F217" s="357">
        <v>53000</v>
      </c>
      <c r="G217" s="357">
        <f t="shared" ref="G217:G228" si="1">F217*D217</f>
        <v>14310.000000000002</v>
      </c>
      <c r="H217" s="353"/>
      <c r="M217" s="485"/>
    </row>
    <row r="218" spans="1:13" s="223" customFormat="1" ht="18">
      <c r="A218" s="226"/>
      <c r="B218" s="347"/>
      <c r="C218" s="354" t="s">
        <v>222</v>
      </c>
      <c r="D218" s="355">
        <f>D215*0.54</f>
        <v>2.4300000000000002E-2</v>
      </c>
      <c r="E218" s="356" t="s">
        <v>311</v>
      </c>
      <c r="F218" s="357">
        <v>310000</v>
      </c>
      <c r="G218" s="357">
        <f t="shared" si="1"/>
        <v>7533.0000000000009</v>
      </c>
      <c r="H218" s="353"/>
      <c r="M218" s="485"/>
    </row>
    <row r="219" spans="1:13" s="223" customFormat="1" ht="18">
      <c r="A219" s="226"/>
      <c r="B219" s="347"/>
      <c r="C219" s="354" t="s">
        <v>224</v>
      </c>
      <c r="D219" s="355">
        <f>D215*0.82</f>
        <v>3.6899999999999995E-2</v>
      </c>
      <c r="E219" s="356" t="s">
        <v>311</v>
      </c>
      <c r="F219" s="357">
        <v>310000</v>
      </c>
      <c r="G219" s="357">
        <f t="shared" si="1"/>
        <v>11438.999999999998</v>
      </c>
      <c r="H219" s="353"/>
      <c r="M219" s="485"/>
    </row>
    <row r="220" spans="1:13" s="223" customFormat="1" ht="16.5">
      <c r="A220" s="226"/>
      <c r="B220" s="347"/>
      <c r="C220" s="354" t="s">
        <v>226</v>
      </c>
      <c r="D220" s="355">
        <v>1</v>
      </c>
      <c r="E220" s="356" t="s">
        <v>20</v>
      </c>
      <c r="F220" s="357">
        <v>103000</v>
      </c>
      <c r="G220" s="357">
        <f t="shared" si="1"/>
        <v>103000</v>
      </c>
      <c r="H220" s="353"/>
      <c r="M220" s="485"/>
    </row>
    <row r="221" spans="1:13" s="223" customFormat="1" ht="16.5">
      <c r="A221" s="226"/>
      <c r="B221" s="347"/>
      <c r="C221" s="354" t="s">
        <v>239</v>
      </c>
      <c r="D221" s="355">
        <v>0.2</v>
      </c>
      <c r="E221" s="356" t="s">
        <v>20</v>
      </c>
      <c r="F221" s="357">
        <v>39000</v>
      </c>
      <c r="G221" s="357">
        <f t="shared" si="1"/>
        <v>7800</v>
      </c>
      <c r="H221" s="353"/>
      <c r="M221" s="485"/>
    </row>
    <row r="222" spans="1:13" s="223" customFormat="1" ht="16.5">
      <c r="A222" s="226"/>
      <c r="B222" s="347"/>
      <c r="C222" s="354" t="s">
        <v>240</v>
      </c>
      <c r="D222" s="355">
        <v>0.5</v>
      </c>
      <c r="E222" s="356" t="s">
        <v>241</v>
      </c>
      <c r="F222" s="357">
        <v>95000</v>
      </c>
      <c r="G222" s="357">
        <f t="shared" si="1"/>
        <v>47500</v>
      </c>
      <c r="H222" s="353"/>
      <c r="I222" s="225"/>
      <c r="M222" s="485"/>
    </row>
    <row r="223" spans="1:13" s="223" customFormat="1" ht="16.5">
      <c r="A223" s="226"/>
      <c r="B223" s="347"/>
      <c r="C223" s="354" t="s">
        <v>242</v>
      </c>
      <c r="D223" s="355">
        <f>D215*2.5</f>
        <v>0.11249999999999999</v>
      </c>
      <c r="E223" s="356" t="s">
        <v>17</v>
      </c>
      <c r="F223" s="357">
        <v>20000</v>
      </c>
      <c r="G223" s="357">
        <f t="shared" si="1"/>
        <v>2250</v>
      </c>
      <c r="H223" s="353"/>
      <c r="I223" s="225"/>
      <c r="M223" s="485"/>
    </row>
    <row r="224" spans="1:13" s="223" customFormat="1" ht="16.5">
      <c r="A224" s="226"/>
      <c r="B224" s="347"/>
      <c r="C224" s="354" t="s">
        <v>243</v>
      </c>
      <c r="D224" s="355">
        <v>0.02</v>
      </c>
      <c r="E224" s="356" t="s">
        <v>15</v>
      </c>
      <c r="F224" s="357">
        <v>2500000</v>
      </c>
      <c r="G224" s="357">
        <f t="shared" si="1"/>
        <v>50000</v>
      </c>
      <c r="H224" s="353"/>
      <c r="I224" s="225"/>
      <c r="M224" s="485"/>
    </row>
    <row r="225" spans="1:13" s="223" customFormat="1" ht="16.5">
      <c r="A225" s="226"/>
      <c r="B225" s="347"/>
      <c r="C225" s="354" t="s">
        <v>244</v>
      </c>
      <c r="D225" s="355">
        <f>D215*2</f>
        <v>0.09</v>
      </c>
      <c r="E225" s="356" t="s">
        <v>17</v>
      </c>
      <c r="F225" s="357">
        <v>18000</v>
      </c>
      <c r="G225" s="357">
        <f t="shared" si="1"/>
        <v>1620</v>
      </c>
      <c r="H225" s="353"/>
      <c r="I225" s="225"/>
      <c r="M225" s="485"/>
    </row>
    <row r="226" spans="1:13" s="223" customFormat="1" ht="16.5">
      <c r="A226" s="226"/>
      <c r="B226" s="347"/>
      <c r="C226" s="354" t="s">
        <v>245</v>
      </c>
      <c r="D226" s="358">
        <f>0.3*0.12*3</f>
        <v>0.10799999999999998</v>
      </c>
      <c r="E226" s="359" t="s">
        <v>14</v>
      </c>
      <c r="F226" s="360">
        <v>20000</v>
      </c>
      <c r="G226" s="360">
        <f t="shared" si="1"/>
        <v>2159.9999999999995</v>
      </c>
      <c r="H226" s="353"/>
      <c r="I226" s="225"/>
      <c r="M226" s="485"/>
    </row>
    <row r="227" spans="1:13" s="223" customFormat="1" ht="16.5">
      <c r="A227" s="226"/>
      <c r="B227" s="347"/>
      <c r="C227" s="354" t="s">
        <v>228</v>
      </c>
      <c r="D227" s="358">
        <v>8.67</v>
      </c>
      <c r="E227" s="359" t="s">
        <v>17</v>
      </c>
      <c r="F227" s="361">
        <v>3000</v>
      </c>
      <c r="G227" s="360">
        <f t="shared" si="1"/>
        <v>26010</v>
      </c>
      <c r="H227" s="353"/>
      <c r="I227" s="225"/>
      <c r="M227" s="485"/>
    </row>
    <row r="228" spans="1:13" s="223" customFormat="1" ht="18">
      <c r="A228" s="226"/>
      <c r="B228" s="347"/>
      <c r="C228" s="362" t="s">
        <v>229</v>
      </c>
      <c r="D228" s="358">
        <f>D215*1</f>
        <v>4.4999999999999998E-2</v>
      </c>
      <c r="E228" s="359" t="s">
        <v>311</v>
      </c>
      <c r="F228" s="361">
        <v>300000</v>
      </c>
      <c r="G228" s="360">
        <f t="shared" si="1"/>
        <v>13500</v>
      </c>
      <c r="H228" s="353"/>
      <c r="I228" s="225"/>
      <c r="M228" s="485"/>
    </row>
    <row r="229" spans="1:13" s="223" customFormat="1" ht="16.5">
      <c r="A229" s="226"/>
      <c r="B229" s="363"/>
      <c r="C229" s="1148" t="s">
        <v>246</v>
      </c>
      <c r="D229" s="1149"/>
      <c r="E229" s="1149"/>
      <c r="F229" s="1149"/>
      <c r="G229" s="364">
        <f>SUM(G217:G228)</f>
        <v>287122</v>
      </c>
      <c r="H229" s="353">
        <f>G229/D215</f>
        <v>6380488.888888889</v>
      </c>
      <c r="I229" s="225"/>
      <c r="M229" s="485"/>
    </row>
    <row r="230" spans="1:13" s="223" customFormat="1">
      <c r="A230" s="226"/>
      <c r="I230" s="225"/>
      <c r="M230" s="485"/>
    </row>
    <row r="231" spans="1:13" s="223" customFormat="1" ht="18">
      <c r="A231" s="226"/>
      <c r="B231" s="340"/>
      <c r="C231" s="348" t="s">
        <v>312</v>
      </c>
      <c r="D231" s="349">
        <f>0.2*6*2</f>
        <v>2.4000000000000004</v>
      </c>
      <c r="E231" s="350" t="s">
        <v>311</v>
      </c>
      <c r="F231" s="351"/>
      <c r="G231" s="352"/>
      <c r="H231" s="353"/>
      <c r="I231" s="225"/>
      <c r="M231" s="485"/>
    </row>
    <row r="232" spans="1:13" s="223" customFormat="1" ht="16.5">
      <c r="A232" s="226"/>
      <c r="B232" s="340"/>
      <c r="C232" s="354" t="s">
        <v>234</v>
      </c>
      <c r="D232" s="355"/>
      <c r="E232" s="356"/>
      <c r="F232" s="357"/>
      <c r="G232" s="357"/>
      <c r="H232" s="353"/>
      <c r="I232" s="225"/>
      <c r="M232" s="485"/>
    </row>
    <row r="233" spans="1:13" s="223" customFormat="1" ht="16.5">
      <c r="A233" s="226"/>
      <c r="B233" s="340"/>
      <c r="C233" s="354" t="s">
        <v>219</v>
      </c>
      <c r="D233" s="355">
        <f>D231*6</f>
        <v>14.400000000000002</v>
      </c>
      <c r="E233" s="356" t="s">
        <v>220</v>
      </c>
      <c r="F233" s="357">
        <v>53000</v>
      </c>
      <c r="G233" s="357">
        <f t="shared" ref="G233:G243" si="2">F233*D233</f>
        <v>763200.00000000012</v>
      </c>
      <c r="H233" s="353"/>
      <c r="I233" s="225"/>
      <c r="M233" s="485"/>
    </row>
    <row r="234" spans="1:13" s="223" customFormat="1" ht="18">
      <c r="A234" s="226"/>
      <c r="B234" s="340"/>
      <c r="C234" s="354" t="s">
        <v>222</v>
      </c>
      <c r="D234" s="355">
        <f>D231*0.54</f>
        <v>1.2960000000000003</v>
      </c>
      <c r="E234" s="356" t="s">
        <v>311</v>
      </c>
      <c r="F234" s="357">
        <v>310000</v>
      </c>
      <c r="G234" s="357">
        <f t="shared" si="2"/>
        <v>401760.00000000006</v>
      </c>
      <c r="H234" s="353"/>
      <c r="I234" s="342"/>
      <c r="M234" s="485"/>
    </row>
    <row r="235" spans="1:13" s="223" customFormat="1" ht="18">
      <c r="A235" s="226"/>
      <c r="C235" s="354" t="s">
        <v>224</v>
      </c>
      <c r="D235" s="355">
        <f>D231*0.82</f>
        <v>1.9680000000000002</v>
      </c>
      <c r="E235" s="356" t="s">
        <v>311</v>
      </c>
      <c r="F235" s="357">
        <v>310000</v>
      </c>
      <c r="G235" s="357">
        <f t="shared" si="2"/>
        <v>610080.00000000012</v>
      </c>
      <c r="H235" s="353"/>
      <c r="M235" s="485"/>
    </row>
    <row r="236" spans="1:13" s="223" customFormat="1" ht="16.5">
      <c r="A236" s="226"/>
      <c r="C236" s="354" t="s">
        <v>313</v>
      </c>
      <c r="D236" s="355">
        <v>28</v>
      </c>
      <c r="E236" s="356" t="s">
        <v>20</v>
      </c>
      <c r="F236" s="357">
        <v>87000</v>
      </c>
      <c r="G236" s="357">
        <f t="shared" si="2"/>
        <v>2436000</v>
      </c>
      <c r="H236" s="353"/>
      <c r="M236" s="485"/>
    </row>
    <row r="237" spans="1:13" s="223" customFormat="1" ht="16.5">
      <c r="A237" s="226"/>
      <c r="C237" s="354" t="s">
        <v>240</v>
      </c>
      <c r="D237" s="355">
        <v>4</v>
      </c>
      <c r="E237" s="356" t="s">
        <v>241</v>
      </c>
      <c r="F237" s="357">
        <v>95000</v>
      </c>
      <c r="G237" s="357">
        <f t="shared" si="2"/>
        <v>380000</v>
      </c>
      <c r="H237" s="353"/>
      <c r="M237" s="485"/>
    </row>
    <row r="238" spans="1:13" s="223" customFormat="1" ht="18">
      <c r="A238" s="226"/>
      <c r="C238" s="354" t="s">
        <v>242</v>
      </c>
      <c r="D238" s="355">
        <f>D231*2.5</f>
        <v>6.0000000000000009</v>
      </c>
      <c r="E238" s="356" t="s">
        <v>17</v>
      </c>
      <c r="F238" s="357">
        <v>20000</v>
      </c>
      <c r="G238" s="357">
        <f t="shared" si="2"/>
        <v>120000.00000000001</v>
      </c>
      <c r="H238" s="353"/>
      <c r="I238" s="341"/>
      <c r="M238" s="485"/>
    </row>
    <row r="239" spans="1:13" s="223" customFormat="1" ht="16.5">
      <c r="A239" s="226"/>
      <c r="C239" s="354" t="s">
        <v>243</v>
      </c>
      <c r="D239" s="355">
        <v>0.5</v>
      </c>
      <c r="E239" s="356" t="s">
        <v>15</v>
      </c>
      <c r="F239" s="357">
        <v>2500000</v>
      </c>
      <c r="G239" s="357">
        <f t="shared" si="2"/>
        <v>1250000</v>
      </c>
      <c r="H239" s="353"/>
      <c r="I239" s="342"/>
      <c r="J239" s="342"/>
      <c r="M239" s="485"/>
    </row>
    <row r="240" spans="1:13" s="223" customFormat="1" ht="16.5">
      <c r="A240" s="226"/>
      <c r="C240" s="354" t="s">
        <v>244</v>
      </c>
      <c r="D240" s="355">
        <f>D231*2</f>
        <v>4.8000000000000007</v>
      </c>
      <c r="E240" s="356" t="s">
        <v>17</v>
      </c>
      <c r="F240" s="357">
        <v>18000</v>
      </c>
      <c r="G240" s="357">
        <f t="shared" si="2"/>
        <v>86400.000000000015</v>
      </c>
      <c r="H240" s="353"/>
      <c r="M240" s="485"/>
    </row>
    <row r="241" spans="1:13" s="223" customFormat="1" ht="16.5">
      <c r="A241" s="226"/>
      <c r="C241" s="354" t="s">
        <v>245</v>
      </c>
      <c r="D241" s="358">
        <f>2*6</f>
        <v>12</v>
      </c>
      <c r="E241" s="359" t="s">
        <v>14</v>
      </c>
      <c r="F241" s="360">
        <v>20000</v>
      </c>
      <c r="G241" s="360">
        <f t="shared" si="2"/>
        <v>240000</v>
      </c>
      <c r="H241" s="353"/>
      <c r="M241" s="485"/>
    </row>
    <row r="242" spans="1:13" s="223" customFormat="1" ht="16.5">
      <c r="A242" s="226"/>
      <c r="C242" s="354" t="s">
        <v>228</v>
      </c>
      <c r="D242" s="358">
        <f>D236*7.39</f>
        <v>206.92</v>
      </c>
      <c r="E242" s="359" t="s">
        <v>17</v>
      </c>
      <c r="F242" s="361">
        <v>3000</v>
      </c>
      <c r="G242" s="360">
        <f t="shared" si="2"/>
        <v>620760</v>
      </c>
      <c r="H242" s="353"/>
      <c r="M242" s="485"/>
    </row>
    <row r="243" spans="1:13" s="223" customFormat="1" ht="18">
      <c r="A243" s="226"/>
      <c r="C243" s="362" t="s">
        <v>229</v>
      </c>
      <c r="D243" s="358">
        <f>D231*1</f>
        <v>2.4000000000000004</v>
      </c>
      <c r="E243" s="359" t="s">
        <v>311</v>
      </c>
      <c r="F243" s="361">
        <v>300000</v>
      </c>
      <c r="G243" s="360">
        <f t="shared" si="2"/>
        <v>720000.00000000012</v>
      </c>
      <c r="H243" s="353"/>
      <c r="M243" s="485"/>
    </row>
    <row r="244" spans="1:13" s="223" customFormat="1" ht="18">
      <c r="A244" s="226"/>
      <c r="C244" s="1148" t="s">
        <v>246</v>
      </c>
      <c r="D244" s="1149"/>
      <c r="E244" s="1149"/>
      <c r="F244" s="1149"/>
      <c r="G244" s="364">
        <f>SUM(G233:G243)</f>
        <v>7628200</v>
      </c>
      <c r="H244" s="353">
        <f>G244/D231</f>
        <v>3178416.666666666</v>
      </c>
      <c r="I244" s="341"/>
      <c r="M244" s="485"/>
    </row>
    <row r="245" spans="1:13" s="223" customFormat="1">
      <c r="A245" s="226"/>
      <c r="G245" s="225"/>
      <c r="H245" s="225"/>
      <c r="I245" s="225"/>
      <c r="J245" s="225"/>
      <c r="M245" s="485"/>
    </row>
    <row r="246" spans="1:13" s="223" customFormat="1" ht="18">
      <c r="A246" s="226"/>
      <c r="C246" s="906" t="s">
        <v>835</v>
      </c>
      <c r="D246" s="258">
        <f>1.4*2*0.3</f>
        <v>0.84</v>
      </c>
      <c r="E246" s="259" t="s">
        <v>215</v>
      </c>
      <c r="F246" s="260"/>
      <c r="G246" s="261"/>
      <c r="M246" s="485"/>
    </row>
    <row r="247" spans="1:13" s="223" customFormat="1" ht="15.75">
      <c r="A247" s="226"/>
      <c r="B247" s="339"/>
      <c r="C247" s="266" t="s">
        <v>219</v>
      </c>
      <c r="D247" s="267">
        <f>D246*6</f>
        <v>5.04</v>
      </c>
      <c r="E247" s="268" t="s">
        <v>220</v>
      </c>
      <c r="F247" s="269">
        <v>55000</v>
      </c>
      <c r="G247" s="269">
        <f>D247*F247</f>
        <v>277200</v>
      </c>
      <c r="M247" s="485"/>
    </row>
    <row r="248" spans="1:13" ht="18">
      <c r="C248" s="266" t="s">
        <v>222</v>
      </c>
      <c r="D248" s="267">
        <f>D246*0.52</f>
        <v>0.43680000000000002</v>
      </c>
      <c r="E248" s="268" t="s">
        <v>215</v>
      </c>
      <c r="F248" s="269">
        <v>380000</v>
      </c>
      <c r="G248" s="269">
        <f>D248*F248</f>
        <v>165984</v>
      </c>
    </row>
    <row r="249" spans="1:13" ht="18">
      <c r="C249" s="266" t="s">
        <v>224</v>
      </c>
      <c r="D249" s="267">
        <f>D246*0.82</f>
        <v>0.68879999999999997</v>
      </c>
      <c r="E249" s="268" t="s">
        <v>215</v>
      </c>
      <c r="F249" s="269">
        <v>310000</v>
      </c>
      <c r="G249" s="269">
        <f>D249*F249</f>
        <v>213528</v>
      </c>
    </row>
    <row r="250" spans="1:13" s="223" customFormat="1" ht="18">
      <c r="A250" s="226"/>
      <c r="C250" s="266" t="s">
        <v>465</v>
      </c>
      <c r="D250" s="267">
        <v>5</v>
      </c>
      <c r="E250" s="268" t="s">
        <v>20</v>
      </c>
      <c r="F250" s="276">
        <v>120000</v>
      </c>
      <c r="G250" s="269">
        <f>F250*D250</f>
        <v>600000</v>
      </c>
      <c r="I250" s="341"/>
      <c r="M250" s="485"/>
    </row>
    <row r="251" spans="1:13" s="223" customFormat="1" ht="15.75">
      <c r="A251" s="226"/>
      <c r="C251" s="223" t="s">
        <v>834</v>
      </c>
      <c r="D251" s="267">
        <v>5</v>
      </c>
      <c r="E251" s="513" t="s">
        <v>20</v>
      </c>
      <c r="F251" s="223">
        <v>175000</v>
      </c>
      <c r="G251" s="269">
        <f>F251*D251</f>
        <v>875000</v>
      </c>
      <c r="H251" s="225"/>
      <c r="I251" s="225"/>
      <c r="J251" s="225"/>
      <c r="M251" s="485"/>
    </row>
    <row r="252" spans="1:13" ht="15.75">
      <c r="C252" s="266" t="s">
        <v>227</v>
      </c>
      <c r="D252" s="267">
        <f>D253/50</f>
        <v>1.99</v>
      </c>
      <c r="E252" s="268" t="s">
        <v>17</v>
      </c>
      <c r="F252" s="269">
        <v>20000</v>
      </c>
      <c r="G252" s="269">
        <f>F252*D252</f>
        <v>39800</v>
      </c>
    </row>
    <row r="253" spans="1:13" s="223" customFormat="1" ht="15.75">
      <c r="A253" s="226"/>
      <c r="B253" s="339"/>
      <c r="C253" s="279" t="s">
        <v>228</v>
      </c>
      <c r="D253" s="280">
        <f>D250*12.5+D251*7.4</f>
        <v>99.5</v>
      </c>
      <c r="E253" s="281" t="s">
        <v>17</v>
      </c>
      <c r="F253" s="282">
        <v>3000</v>
      </c>
      <c r="G253" s="282">
        <f>D253*F253</f>
        <v>298500</v>
      </c>
      <c r="M253" s="485"/>
    </row>
    <row r="254" spans="1:13" s="223" customFormat="1" ht="18">
      <c r="A254" s="226"/>
      <c r="B254" s="339"/>
      <c r="C254" s="514" t="s">
        <v>229</v>
      </c>
      <c r="D254" s="805">
        <f>D246</f>
        <v>0.84</v>
      </c>
      <c r="E254" s="516" t="s">
        <v>215</v>
      </c>
      <c r="F254" s="804">
        <v>300000</v>
      </c>
      <c r="G254" s="804">
        <f>D254*F254</f>
        <v>252000</v>
      </c>
      <c r="M254" s="485"/>
    </row>
    <row r="255" spans="1:13" s="223" customFormat="1" ht="15.75">
      <c r="A255" s="226"/>
      <c r="B255" s="339"/>
      <c r="C255" s="308"/>
      <c r="E255" s="312"/>
      <c r="G255" s="907">
        <f>SUM(G247:G254)</f>
        <v>2722012</v>
      </c>
      <c r="H255" s="903">
        <f>G255/D246</f>
        <v>3240490.4761904762</v>
      </c>
      <c r="M255" s="485"/>
    </row>
    <row r="256" spans="1:13" s="223" customFormat="1">
      <c r="A256" s="226"/>
      <c r="B256" s="339"/>
      <c r="M256" s="485"/>
    </row>
    <row r="257" spans="1:13" ht="18">
      <c r="C257" s="906" t="s">
        <v>833</v>
      </c>
      <c r="D257" s="258">
        <f>0.2*2*13</f>
        <v>5.2</v>
      </c>
      <c r="E257" s="259" t="s">
        <v>215</v>
      </c>
      <c r="F257" s="260"/>
      <c r="G257" s="261"/>
    </row>
    <row r="258" spans="1:13" s="223" customFormat="1" ht="15.75">
      <c r="A258" s="226"/>
      <c r="C258" s="266" t="s">
        <v>219</v>
      </c>
      <c r="D258" s="267">
        <f>D257*6</f>
        <v>31.200000000000003</v>
      </c>
      <c r="E258" s="268" t="s">
        <v>220</v>
      </c>
      <c r="F258" s="269">
        <v>55000</v>
      </c>
      <c r="G258" s="269">
        <f>D258*F258</f>
        <v>1716000.0000000002</v>
      </c>
      <c r="M258" s="485"/>
    </row>
    <row r="259" spans="1:13" s="223" customFormat="1" ht="18">
      <c r="A259" s="365"/>
      <c r="B259" s="366"/>
      <c r="C259" s="266" t="s">
        <v>222</v>
      </c>
      <c r="D259" s="267">
        <f>D257*0.52</f>
        <v>2.7040000000000002</v>
      </c>
      <c r="E259" s="268" t="s">
        <v>215</v>
      </c>
      <c r="F259" s="269">
        <v>380000</v>
      </c>
      <c r="G259" s="269">
        <f>D259*F259</f>
        <v>1027520.0000000001</v>
      </c>
      <c r="M259" s="485"/>
    </row>
    <row r="260" spans="1:13" s="223" customFormat="1" ht="18">
      <c r="A260" s="367"/>
      <c r="B260" s="330"/>
      <c r="C260" s="266" t="s">
        <v>224</v>
      </c>
      <c r="D260" s="267">
        <f>D257*0.82</f>
        <v>4.2640000000000002</v>
      </c>
      <c r="E260" s="268" t="s">
        <v>215</v>
      </c>
      <c r="F260" s="269">
        <v>310000</v>
      </c>
      <c r="G260" s="269">
        <f>D260*F260</f>
        <v>1321840</v>
      </c>
      <c r="M260" s="485"/>
    </row>
    <row r="261" spans="1:13" s="223" customFormat="1" ht="15.75">
      <c r="A261" s="367"/>
      <c r="B261" s="330"/>
      <c r="C261" s="266" t="s">
        <v>465</v>
      </c>
      <c r="D261" s="267">
        <v>12</v>
      </c>
      <c r="E261" s="268" t="s">
        <v>20</v>
      </c>
      <c r="F261" s="276">
        <v>120000</v>
      </c>
      <c r="G261" s="269">
        <f>F261*D261</f>
        <v>1440000</v>
      </c>
      <c r="M261" s="485"/>
    </row>
    <row r="262" spans="1:13" s="223" customFormat="1" ht="15.75">
      <c r="A262" s="367"/>
      <c r="B262" s="330"/>
      <c r="C262" s="312" t="s">
        <v>832</v>
      </c>
      <c r="D262" s="267">
        <v>21</v>
      </c>
      <c r="E262" s="905" t="s">
        <v>20</v>
      </c>
      <c r="F262" s="312">
        <v>90000</v>
      </c>
      <c r="G262" s="269">
        <f>F262*D262</f>
        <v>1890000</v>
      </c>
      <c r="H262" s="225"/>
      <c r="M262" s="485"/>
    </row>
    <row r="263" spans="1:13" s="223" customFormat="1" ht="15.75">
      <c r="A263" s="367"/>
      <c r="B263" s="330"/>
      <c r="C263" s="266" t="s">
        <v>227</v>
      </c>
      <c r="D263" s="267">
        <f>D264/50</f>
        <v>6.1079999999999997</v>
      </c>
      <c r="E263" s="268" t="s">
        <v>17</v>
      </c>
      <c r="F263" s="269">
        <v>20000</v>
      </c>
      <c r="G263" s="269">
        <f>F263*D263</f>
        <v>122160</v>
      </c>
      <c r="M263" s="485"/>
    </row>
    <row r="264" spans="1:13" s="223" customFormat="1" ht="15.75">
      <c r="A264" s="367"/>
      <c r="B264" s="330"/>
      <c r="C264" s="279" t="s">
        <v>228</v>
      </c>
      <c r="D264" s="280">
        <f>D261*12.5+D262*7.4</f>
        <v>305.39999999999998</v>
      </c>
      <c r="E264" s="281" t="s">
        <v>17</v>
      </c>
      <c r="F264" s="282">
        <v>3000</v>
      </c>
      <c r="G264" s="282">
        <f>D264*F264</f>
        <v>916199.99999999988</v>
      </c>
      <c r="M264" s="485"/>
    </row>
    <row r="265" spans="1:13" s="223" customFormat="1" ht="18">
      <c r="A265" s="367"/>
      <c r="B265" s="330"/>
      <c r="C265" s="514" t="s">
        <v>229</v>
      </c>
      <c r="D265" s="805">
        <f>D257</f>
        <v>5.2</v>
      </c>
      <c r="E265" s="516" t="s">
        <v>215</v>
      </c>
      <c r="F265" s="804">
        <v>300000</v>
      </c>
      <c r="G265" s="804">
        <f>D265*F265</f>
        <v>1560000</v>
      </c>
      <c r="M265" s="485"/>
    </row>
    <row r="266" spans="1:13" s="223" customFormat="1" ht="15.75">
      <c r="A266" s="367"/>
      <c r="B266" s="330"/>
      <c r="C266" s="308"/>
      <c r="E266" s="312"/>
      <c r="G266" s="904">
        <f>SUM(G258:G265)</f>
        <v>9993720</v>
      </c>
      <c r="H266" s="903">
        <f>G266/D257</f>
        <v>1921869.2307692308</v>
      </c>
      <c r="M266" s="485"/>
    </row>
    <row r="267" spans="1:13" s="223" customFormat="1" ht="17.25">
      <c r="A267" s="367"/>
      <c r="B267" s="330"/>
      <c r="C267" s="265"/>
      <c r="D267" s="265"/>
      <c r="I267" s="341"/>
      <c r="M267" s="485"/>
    </row>
    <row r="268" spans="1:13" s="223" customFormat="1">
      <c r="A268" s="367"/>
      <c r="B268" s="330"/>
      <c r="C268" s="265"/>
      <c r="D268" s="265"/>
      <c r="I268" s="368"/>
      <c r="J268" s="368"/>
      <c r="M268" s="485"/>
    </row>
    <row r="269" spans="1:13" s="223" customFormat="1">
      <c r="A269" s="367"/>
      <c r="B269" s="330"/>
      <c r="C269" s="265"/>
      <c r="D269" s="265"/>
      <c r="M269" s="485"/>
    </row>
    <row r="270" spans="1:13" s="223" customFormat="1">
      <c r="A270" s="367"/>
      <c r="B270" s="330"/>
      <c r="C270" s="265"/>
      <c r="D270" s="265"/>
      <c r="G270" s="369"/>
      <c r="H270" s="369"/>
      <c r="I270" s="369"/>
      <c r="J270" s="369"/>
      <c r="M270" s="485"/>
    </row>
    <row r="271" spans="1:13" s="223" customFormat="1">
      <c r="A271" s="367"/>
      <c r="B271" s="330"/>
      <c r="C271" s="265"/>
      <c r="D271" s="265"/>
      <c r="M271" s="485"/>
    </row>
    <row r="272" spans="1:13" s="223" customFormat="1">
      <c r="A272" s="367"/>
      <c r="B272" s="330"/>
      <c r="C272" s="265"/>
      <c r="D272" s="265"/>
      <c r="M272" s="485"/>
    </row>
    <row r="273" spans="1:13" s="223" customFormat="1">
      <c r="A273" s="367"/>
      <c r="B273" s="330"/>
      <c r="C273" s="265"/>
      <c r="D273" s="265"/>
      <c r="M273" s="485"/>
    </row>
    <row r="274" spans="1:13" s="223" customFormat="1">
      <c r="A274" s="367"/>
      <c r="B274" s="330"/>
      <c r="C274" s="265"/>
      <c r="D274" s="265"/>
      <c r="M274" s="485"/>
    </row>
    <row r="275" spans="1:13" s="223" customFormat="1">
      <c r="A275" s="367"/>
      <c r="B275" s="330"/>
      <c r="C275" s="265"/>
      <c r="D275" s="265"/>
      <c r="M275" s="485"/>
    </row>
    <row r="276" spans="1:13" s="223" customFormat="1">
      <c r="A276" s="367"/>
      <c r="B276" s="330"/>
      <c r="C276" s="265"/>
      <c r="D276" s="265"/>
      <c r="M276" s="485"/>
    </row>
    <row r="277" spans="1:13" s="223" customFormat="1" ht="17.25">
      <c r="A277" s="367"/>
      <c r="B277" s="330"/>
      <c r="C277" s="265"/>
      <c r="D277" s="265"/>
      <c r="I277" s="341"/>
      <c r="M277" s="485"/>
    </row>
    <row r="278" spans="1:13" s="223" customFormat="1">
      <c r="A278" s="367"/>
      <c r="B278" s="330"/>
      <c r="C278" s="265"/>
      <c r="D278" s="265"/>
      <c r="G278" s="233"/>
      <c r="H278" s="233"/>
      <c r="I278" s="369"/>
      <c r="J278" s="369"/>
      <c r="M278" s="485"/>
    </row>
    <row r="279" spans="1:13" s="223" customFormat="1">
      <c r="A279" s="367"/>
      <c r="B279" s="330"/>
      <c r="C279" s="265"/>
      <c r="D279" s="265"/>
      <c r="M279" s="485"/>
    </row>
    <row r="280" spans="1:13" s="223" customFormat="1">
      <c r="A280" s="367"/>
      <c r="B280" s="330"/>
      <c r="C280" s="265"/>
      <c r="D280" s="265"/>
      <c r="M280" s="485"/>
    </row>
    <row r="281" spans="1:13" s="223" customFormat="1">
      <c r="A281" s="367"/>
      <c r="B281" s="330"/>
      <c r="C281" s="265"/>
      <c r="D281" s="265"/>
      <c r="M281" s="485"/>
    </row>
    <row r="282" spans="1:13" s="223" customFormat="1">
      <c r="A282" s="367"/>
      <c r="B282" s="330"/>
      <c r="C282" s="265"/>
      <c r="D282" s="265"/>
      <c r="M282" s="485"/>
    </row>
    <row r="283" spans="1:13" s="223" customFormat="1">
      <c r="A283" s="367"/>
      <c r="B283" s="330"/>
      <c r="C283" s="265"/>
      <c r="D283" s="265"/>
      <c r="M283" s="485"/>
    </row>
    <row r="284" spans="1:13" s="223" customFormat="1" ht="17.25">
      <c r="A284" s="367"/>
      <c r="B284" s="330"/>
      <c r="C284" s="265"/>
      <c r="D284" s="265"/>
      <c r="I284" s="341"/>
      <c r="M284" s="485"/>
    </row>
    <row r="285" spans="1:13" s="223" customFormat="1">
      <c r="A285" s="367"/>
      <c r="B285" s="330"/>
      <c r="C285" s="265"/>
      <c r="D285" s="265"/>
      <c r="G285" s="233"/>
      <c r="H285" s="233"/>
      <c r="I285" s="369"/>
      <c r="J285" s="369"/>
      <c r="M285" s="485"/>
    </row>
    <row r="286" spans="1:13" s="223" customFormat="1">
      <c r="A286" s="367"/>
      <c r="B286" s="330"/>
      <c r="C286" s="265"/>
      <c r="D286" s="265"/>
      <c r="M286" s="485"/>
    </row>
    <row r="287" spans="1:13" s="223" customFormat="1">
      <c r="A287" s="226"/>
      <c r="B287" s="265"/>
      <c r="C287" s="265"/>
      <c r="D287" s="265"/>
      <c r="M287" s="485"/>
    </row>
    <row r="288" spans="1:13" s="223" customFormat="1">
      <c r="A288" s="226"/>
      <c r="I288" s="368"/>
      <c r="J288" s="368"/>
      <c r="M288" s="485"/>
    </row>
    <row r="289" spans="1:13" s="223" customFormat="1">
      <c r="A289" s="226"/>
      <c r="M289" s="485"/>
    </row>
    <row r="290" spans="1:13" s="223" customFormat="1">
      <c r="A290" s="226"/>
      <c r="M290" s="485"/>
    </row>
    <row r="291" spans="1:13" s="223" customFormat="1">
      <c r="A291" s="378"/>
      <c r="B291" s="366"/>
      <c r="C291" s="265"/>
      <c r="D291" s="265"/>
      <c r="E291" s="265"/>
      <c r="F291" s="265"/>
      <c r="M291" s="485"/>
    </row>
    <row r="292" spans="1:13">
      <c r="J292" s="225"/>
      <c r="K292" s="225"/>
    </row>
    <row r="297" spans="1:13" ht="17.25">
      <c r="K297" s="341"/>
    </row>
    <row r="298" spans="1:13">
      <c r="J298" s="225"/>
      <c r="K298" s="225"/>
    </row>
    <row r="300" spans="1:13">
      <c r="J300" s="225"/>
    </row>
    <row r="303" spans="1:13" ht="17.25">
      <c r="K303" s="341"/>
    </row>
  </sheetData>
  <mergeCells count="3">
    <mergeCell ref="C229:F229"/>
    <mergeCell ref="C244:F244"/>
    <mergeCell ref="I42:L42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F20BEB-AACB-4472-9B1B-006B18EF8C5B}">
  <dimension ref="A1:J60"/>
  <sheetViews>
    <sheetView topLeftCell="A25" workbookViewId="0">
      <selection activeCell="J46" sqref="J46"/>
    </sheetView>
  </sheetViews>
  <sheetFormatPr defaultColWidth="8.85546875" defaultRowHeight="15"/>
  <cols>
    <col min="1" max="1" width="8.85546875" style="226"/>
    <col min="2" max="2" width="23.28515625" style="226" customWidth="1"/>
    <col min="3" max="3" width="8.85546875" style="226"/>
    <col min="4" max="4" width="11.7109375" style="226" customWidth="1"/>
    <col min="5" max="5" width="15.42578125" style="226" customWidth="1"/>
    <col min="6" max="6" width="14" style="226" customWidth="1"/>
    <col min="7" max="7" width="8.85546875" style="226"/>
    <col min="8" max="8" width="9.140625" style="226" bestFit="1" customWidth="1"/>
    <col min="9" max="9" width="9.140625" style="226" customWidth="1"/>
    <col min="10" max="10" width="11.28515625" style="226" customWidth="1"/>
    <col min="11" max="16384" width="8.85546875" style="226"/>
  </cols>
  <sheetData>
    <row r="1" spans="1:6">
      <c r="A1" s="811" t="s">
        <v>770</v>
      </c>
      <c r="B1" s="226">
        <v>25</v>
      </c>
      <c r="C1" s="226">
        <v>25</v>
      </c>
      <c r="D1" s="226">
        <v>15</v>
      </c>
      <c r="E1" s="226">
        <f>SUM(B1:D1)</f>
        <v>65</v>
      </c>
    </row>
    <row r="2" spans="1:6">
      <c r="A2" s="811" t="s">
        <v>769</v>
      </c>
      <c r="B2" s="226">
        <v>30</v>
      </c>
      <c r="C2" s="226">
        <v>30</v>
      </c>
      <c r="D2" s="226">
        <v>22.5</v>
      </c>
      <c r="E2" s="226">
        <f>SUM(B2:D2)</f>
        <v>82.5</v>
      </c>
    </row>
    <row r="3" spans="1:6">
      <c r="E3" s="226">
        <f>SUM(E1:E2)</f>
        <v>147.5</v>
      </c>
      <c r="F3" s="226" t="s">
        <v>430</v>
      </c>
    </row>
    <row r="5" spans="1:6">
      <c r="A5" s="256" t="s">
        <v>729</v>
      </c>
      <c r="B5" s="256"/>
      <c r="C5" s="323">
        <f>(5*12)/12</f>
        <v>5</v>
      </c>
      <c r="D5" s="256">
        <v>4950000</v>
      </c>
      <c r="E5" s="324">
        <f>D5*C5</f>
        <v>24750000</v>
      </c>
      <c r="F5" s="256"/>
    </row>
    <row r="6" spans="1:6">
      <c r="A6" s="256"/>
      <c r="B6" s="256">
        <v>440</v>
      </c>
      <c r="C6" s="323">
        <f>C5</f>
        <v>5</v>
      </c>
      <c r="D6" s="256">
        <v>4000</v>
      </c>
      <c r="E6" s="324">
        <f>D6*C6*B6</f>
        <v>8800000</v>
      </c>
      <c r="F6" s="256"/>
    </row>
    <row r="7" spans="1:6">
      <c r="A7" s="256"/>
      <c r="B7" s="256"/>
      <c r="C7" s="323"/>
      <c r="D7" s="256"/>
      <c r="E7" s="324"/>
      <c r="F7" s="324">
        <f>SUM(E5:E6)</f>
        <v>33550000</v>
      </c>
    </row>
    <row r="8" spans="1:6">
      <c r="A8" s="256"/>
      <c r="B8" s="256"/>
      <c r="C8" s="323"/>
      <c r="D8" s="256"/>
      <c r="E8" s="324"/>
      <c r="F8" s="256"/>
    </row>
    <row r="9" spans="1:6">
      <c r="A9" s="256" t="s">
        <v>728</v>
      </c>
      <c r="B9" s="256"/>
      <c r="C9" s="323">
        <f>(32*6)/12</f>
        <v>16</v>
      </c>
      <c r="D9" s="256">
        <v>4950000</v>
      </c>
      <c r="E9" s="324">
        <f>D9*C9</f>
        <v>79200000</v>
      </c>
      <c r="F9" s="256"/>
    </row>
    <row r="10" spans="1:6">
      <c r="A10" s="256"/>
      <c r="B10" s="256">
        <v>440</v>
      </c>
      <c r="C10" s="323">
        <f>C9</f>
        <v>16</v>
      </c>
      <c r="D10" s="256">
        <v>4000</v>
      </c>
      <c r="E10" s="324">
        <f>D10*C10*B10</f>
        <v>28160000</v>
      </c>
      <c r="F10" s="256"/>
    </row>
    <row r="11" spans="1:6">
      <c r="A11" s="256"/>
      <c r="B11" s="256"/>
      <c r="C11" s="323"/>
      <c r="D11" s="256"/>
      <c r="E11" s="324"/>
      <c r="F11" s="324">
        <f>SUM(E9:E10)</f>
        <v>107360000</v>
      </c>
    </row>
    <row r="12" spans="1:6">
      <c r="A12" s="256"/>
      <c r="B12" s="256"/>
      <c r="C12" s="323"/>
      <c r="D12" s="256"/>
      <c r="E12" s="324"/>
      <c r="F12" s="256"/>
    </row>
    <row r="13" spans="1:6">
      <c r="A13" s="256" t="s">
        <v>258</v>
      </c>
      <c r="B13" s="256"/>
      <c r="C13" s="323">
        <f>165/12</f>
        <v>13.75</v>
      </c>
      <c r="D13" s="256">
        <v>4950000</v>
      </c>
      <c r="E13" s="324">
        <f>D13*C13</f>
        <v>68062500</v>
      </c>
      <c r="F13" s="256"/>
    </row>
    <row r="14" spans="1:6">
      <c r="A14" s="256"/>
      <c r="B14" s="256">
        <v>440</v>
      </c>
      <c r="C14" s="323">
        <f>C13</f>
        <v>13.75</v>
      </c>
      <c r="D14" s="256">
        <v>4000</v>
      </c>
      <c r="E14" s="324">
        <f>D14*C14*B14</f>
        <v>24200000</v>
      </c>
      <c r="F14" s="256"/>
    </row>
    <row r="15" spans="1:6">
      <c r="A15" s="256"/>
      <c r="B15" s="256"/>
      <c r="C15" s="323"/>
      <c r="D15" s="256"/>
      <c r="E15" s="324"/>
      <c r="F15" s="324">
        <f>SUM(E13:E14)</f>
        <v>92262500</v>
      </c>
    </row>
    <row r="16" spans="1:6">
      <c r="A16" s="256"/>
      <c r="B16" s="256"/>
      <c r="C16" s="323"/>
      <c r="D16" s="256"/>
      <c r="E16" s="324"/>
      <c r="F16" s="256"/>
    </row>
    <row r="17" spans="1:6">
      <c r="A17" s="256" t="s">
        <v>727</v>
      </c>
      <c r="B17" s="256"/>
      <c r="C17" s="323">
        <f>(55.5+180)/12</f>
        <v>19.625</v>
      </c>
      <c r="D17" s="256">
        <v>4950000</v>
      </c>
      <c r="E17" s="324">
        <f>D17*C17</f>
        <v>97143750</v>
      </c>
      <c r="F17" s="256"/>
    </row>
    <row r="18" spans="1:6">
      <c r="B18" s="226">
        <v>440</v>
      </c>
      <c r="C18" s="807">
        <f>C17</f>
        <v>19.625</v>
      </c>
      <c r="D18" s="256">
        <v>4000</v>
      </c>
      <c r="E18" s="324">
        <f>D18*C18*B18</f>
        <v>34540000</v>
      </c>
      <c r="F18" s="256"/>
    </row>
    <row r="19" spans="1:6">
      <c r="D19" s="256"/>
      <c r="E19" s="324"/>
      <c r="F19" s="324">
        <f>SUM(E17:E18)</f>
        <v>131683750</v>
      </c>
    </row>
    <row r="20" spans="1:6">
      <c r="A20" s="226" t="s">
        <v>726</v>
      </c>
      <c r="C20" s="226">
        <f>16/12*5</f>
        <v>6.6666666666666661</v>
      </c>
      <c r="D20" s="256">
        <v>4950000</v>
      </c>
      <c r="E20" s="324">
        <f>D20*C20</f>
        <v>32999999.999999996</v>
      </c>
      <c r="F20" s="256"/>
    </row>
    <row r="21" spans="1:6">
      <c r="B21" s="226">
        <v>440</v>
      </c>
      <c r="C21" s="226">
        <f>C20</f>
        <v>6.6666666666666661</v>
      </c>
      <c r="D21" s="256">
        <v>4000</v>
      </c>
      <c r="E21" s="324">
        <f>D21*C21*B21</f>
        <v>11733333.333333332</v>
      </c>
      <c r="F21" s="256"/>
    </row>
    <row r="22" spans="1:6">
      <c r="D22" s="256"/>
      <c r="E22" s="324"/>
      <c r="F22" s="324">
        <f>SUM(E20:E21)</f>
        <v>44733333.333333328</v>
      </c>
    </row>
    <row r="23" spans="1:6">
      <c r="A23" s="226" t="s">
        <v>725</v>
      </c>
      <c r="C23" s="226">
        <f>19/12*3</f>
        <v>4.75</v>
      </c>
      <c r="D23" s="256">
        <v>4950000</v>
      </c>
      <c r="E23" s="324">
        <f>D23*C23</f>
        <v>23512500</v>
      </c>
      <c r="F23" s="256"/>
    </row>
    <row r="24" spans="1:6">
      <c r="B24" s="226">
        <v>440</v>
      </c>
      <c r="C24" s="226">
        <f>C23</f>
        <v>4.75</v>
      </c>
      <c r="D24" s="256">
        <v>4000</v>
      </c>
      <c r="E24" s="324">
        <f>D24*C24*B24</f>
        <v>8360000</v>
      </c>
      <c r="F24" s="256"/>
    </row>
    <row r="25" spans="1:6">
      <c r="D25" s="256"/>
      <c r="E25" s="324"/>
      <c r="F25" s="324">
        <f>SUM(E23:E24)</f>
        <v>31872500</v>
      </c>
    </row>
    <row r="26" spans="1:6">
      <c r="A26" s="226" t="s">
        <v>724</v>
      </c>
      <c r="C26" s="226">
        <f>18/12*5</f>
        <v>7.5</v>
      </c>
      <c r="D26" s="256">
        <v>4950000</v>
      </c>
      <c r="E26" s="324">
        <f>D26*C26</f>
        <v>37125000</v>
      </c>
      <c r="F26" s="256"/>
    </row>
    <row r="27" spans="1:6">
      <c r="B27" s="226">
        <v>440</v>
      </c>
      <c r="C27" s="226">
        <f>C26</f>
        <v>7.5</v>
      </c>
      <c r="D27" s="256">
        <v>4000</v>
      </c>
      <c r="E27" s="324">
        <f>D27*C27*B27</f>
        <v>13200000</v>
      </c>
      <c r="F27" s="256"/>
    </row>
    <row r="28" spans="1:6">
      <c r="D28" s="256"/>
      <c r="E28" s="324"/>
      <c r="F28" s="324">
        <f>SUM(E26:E27)</f>
        <v>50325000</v>
      </c>
    </row>
    <row r="30" spans="1:6" ht="15.75">
      <c r="A30" s="325" t="s">
        <v>265</v>
      </c>
      <c r="B30" s="326"/>
      <c r="C30" s="246"/>
      <c r="D30" s="329"/>
      <c r="E30" s="328"/>
      <c r="F30" s="298"/>
    </row>
    <row r="31" spans="1:6">
      <c r="A31" s="256" t="s">
        <v>269</v>
      </c>
      <c r="B31" s="256"/>
      <c r="C31" s="323">
        <f>216/6</f>
        <v>36</v>
      </c>
      <c r="D31" s="324">
        <v>618000</v>
      </c>
      <c r="E31" s="324">
        <f>D31*C31</f>
        <v>22248000</v>
      </c>
      <c r="F31" s="256"/>
    </row>
    <row r="32" spans="1:6">
      <c r="A32" s="256"/>
      <c r="B32" s="256">
        <v>40.6</v>
      </c>
      <c r="C32" s="323">
        <f>C31</f>
        <v>36</v>
      </c>
      <c r="D32" s="324">
        <v>4000</v>
      </c>
      <c r="E32" s="324">
        <f>D32*C32*B32</f>
        <v>5846400</v>
      </c>
      <c r="F32" s="256"/>
    </row>
    <row r="33" spans="1:10">
      <c r="A33" s="256"/>
      <c r="B33" s="256"/>
      <c r="C33" s="323"/>
      <c r="D33" s="256"/>
      <c r="E33" s="324"/>
      <c r="F33" s="324">
        <f>SUM(E31:E32)</f>
        <v>28094400</v>
      </c>
    </row>
    <row r="35" spans="1:10">
      <c r="A35" s="256" t="s">
        <v>258</v>
      </c>
      <c r="B35" s="256"/>
      <c r="C35" s="323">
        <f>(28*6)/12</f>
        <v>14</v>
      </c>
      <c r="D35" s="324">
        <v>4950000</v>
      </c>
      <c r="E35" s="324">
        <f>D35*C35</f>
        <v>69300000</v>
      </c>
      <c r="F35" s="256"/>
      <c r="H35" s="226">
        <f>14*B36</f>
        <v>6160</v>
      </c>
      <c r="I35" s="226">
        <v>18000</v>
      </c>
      <c r="J35" s="226">
        <f>I35*H35</f>
        <v>110880000</v>
      </c>
    </row>
    <row r="36" spans="1:10">
      <c r="A36" s="256"/>
      <c r="B36" s="256">
        <v>440</v>
      </c>
      <c r="C36" s="323">
        <f>C35</f>
        <v>14</v>
      </c>
      <c r="D36" s="324">
        <v>4000</v>
      </c>
      <c r="E36" s="324">
        <f>D36*C36*B36</f>
        <v>24640000</v>
      </c>
      <c r="F36" s="256"/>
    </row>
    <row r="37" spans="1:10">
      <c r="A37" s="256"/>
      <c r="B37" s="256"/>
      <c r="C37" s="323"/>
      <c r="D37" s="324"/>
      <c r="E37" s="324"/>
      <c r="F37" s="324">
        <f>SUM(E35:E36)</f>
        <v>93940000</v>
      </c>
    </row>
    <row r="38" spans="1:10">
      <c r="A38" s="256"/>
      <c r="B38" s="256"/>
      <c r="C38" s="323"/>
      <c r="D38" s="324"/>
      <c r="E38" s="324"/>
      <c r="F38" s="324"/>
    </row>
    <row r="39" spans="1:10">
      <c r="A39" s="256" t="s">
        <v>772</v>
      </c>
      <c r="B39" s="256"/>
      <c r="C39" s="323">
        <f>110/12</f>
        <v>9.1666666666666661</v>
      </c>
      <c r="D39" s="324">
        <v>4950000</v>
      </c>
      <c r="E39" s="324">
        <f>D39*C39</f>
        <v>45375000</v>
      </c>
      <c r="F39" s="256"/>
      <c r="H39" s="857">
        <f>C39*B40</f>
        <v>4033.333333333333</v>
      </c>
    </row>
    <row r="40" spans="1:10">
      <c r="A40" s="256"/>
      <c r="B40" s="256">
        <v>440</v>
      </c>
      <c r="C40" s="323">
        <f>C39</f>
        <v>9.1666666666666661</v>
      </c>
      <c r="D40" s="324">
        <v>4000</v>
      </c>
      <c r="E40" s="324">
        <f>D40*C40*B40</f>
        <v>16133333.333333332</v>
      </c>
      <c r="F40" s="256"/>
    </row>
    <row r="41" spans="1:10">
      <c r="A41" s="256"/>
      <c r="B41" s="256"/>
      <c r="C41" s="323"/>
      <c r="D41" s="324"/>
      <c r="E41" s="324"/>
      <c r="F41" s="324">
        <f>SUM(E39:E40)</f>
        <v>61508333.333333328</v>
      </c>
    </row>
    <row r="42" spans="1:10">
      <c r="A42" s="256" t="s">
        <v>259</v>
      </c>
      <c r="B42" s="256"/>
      <c r="C42" s="323">
        <f>28/12</f>
        <v>2.3333333333333335</v>
      </c>
      <c r="D42" s="324">
        <v>6158250</v>
      </c>
      <c r="E42" s="324">
        <f>D42*C42</f>
        <v>14369250</v>
      </c>
      <c r="F42" s="256"/>
    </row>
    <row r="43" spans="1:10">
      <c r="A43" s="256"/>
      <c r="B43" s="256">
        <v>595</v>
      </c>
      <c r="C43" s="323">
        <f>C42</f>
        <v>2.3333333333333335</v>
      </c>
      <c r="D43" s="324">
        <v>4000</v>
      </c>
      <c r="E43" s="324">
        <f>D43*C43*B43</f>
        <v>5553333.333333334</v>
      </c>
      <c r="F43" s="256"/>
    </row>
    <row r="44" spans="1:10">
      <c r="A44" s="256"/>
      <c r="B44" s="256"/>
      <c r="C44" s="323"/>
      <c r="D44" s="324"/>
      <c r="E44" s="324"/>
      <c r="F44" s="324">
        <f>SUM(E42:E43)</f>
        <v>19922583.333333336</v>
      </c>
    </row>
    <row r="45" spans="1:10">
      <c r="A45" s="256" t="s">
        <v>261</v>
      </c>
      <c r="B45" s="256"/>
      <c r="C45" s="323">
        <f>59/12</f>
        <v>4.916666666666667</v>
      </c>
      <c r="D45" s="324">
        <v>11825</v>
      </c>
      <c r="E45" s="324">
        <f>D45*C45</f>
        <v>58139.583333333336</v>
      </c>
      <c r="F45" s="256"/>
    </row>
    <row r="46" spans="1:10">
      <c r="A46" s="256"/>
      <c r="B46" s="256">
        <v>1075</v>
      </c>
      <c r="C46" s="323">
        <f>C45</f>
        <v>4.916666666666667</v>
      </c>
      <c r="D46" s="324">
        <v>4000</v>
      </c>
      <c r="E46" s="324">
        <f>D46*C46*B46</f>
        <v>21141666.666666668</v>
      </c>
      <c r="F46" s="256"/>
    </row>
    <row r="47" spans="1:10">
      <c r="A47" s="256"/>
      <c r="B47" s="256"/>
      <c r="C47" s="323"/>
      <c r="D47" s="324"/>
      <c r="E47" s="324"/>
      <c r="F47" s="324">
        <f>SUM(E45:E46)</f>
        <v>21199806.25</v>
      </c>
    </row>
    <row r="48" spans="1:10" ht="15.75">
      <c r="A48" s="325"/>
      <c r="B48" s="326"/>
      <c r="C48" s="246"/>
      <c r="D48" s="327"/>
      <c r="E48" s="328"/>
      <c r="F48" s="298"/>
    </row>
    <row r="49" spans="1:6">
      <c r="A49" s="256" t="s">
        <v>263</v>
      </c>
      <c r="B49" s="256"/>
      <c r="C49" s="323">
        <f>182/12</f>
        <v>15.166666666666666</v>
      </c>
      <c r="D49" s="324">
        <v>3550000</v>
      </c>
      <c r="E49" s="324">
        <f>D49*C49</f>
        <v>53841666.666666664</v>
      </c>
      <c r="F49" s="256"/>
    </row>
    <row r="50" spans="1:6">
      <c r="A50" s="256"/>
      <c r="B50" s="256">
        <v>355</v>
      </c>
      <c r="C50" s="323">
        <f>C49</f>
        <v>15.166666666666666</v>
      </c>
      <c r="D50" s="324">
        <v>4000</v>
      </c>
      <c r="E50" s="324">
        <f>D50*C50*B50</f>
        <v>21536666.666666664</v>
      </c>
      <c r="F50" s="256"/>
    </row>
    <row r="51" spans="1:6">
      <c r="A51" s="256"/>
      <c r="B51" s="256"/>
      <c r="C51" s="323"/>
      <c r="D51" s="324"/>
      <c r="E51" s="324"/>
      <c r="F51" s="324">
        <f>SUM(E49:E50)</f>
        <v>75378333.333333328</v>
      </c>
    </row>
    <row r="52" spans="1:6" ht="15.75">
      <c r="A52" s="325" t="s">
        <v>265</v>
      </c>
      <c r="B52" s="326"/>
      <c r="C52" s="246"/>
      <c r="D52" s="329"/>
      <c r="E52" s="328"/>
      <c r="F52" s="298"/>
    </row>
    <row r="53" spans="1:6">
      <c r="A53" s="256" t="s">
        <v>263</v>
      </c>
      <c r="B53" s="256"/>
      <c r="C53" s="323">
        <f>(8.7*2*3)/12</f>
        <v>4.3499999999999996</v>
      </c>
      <c r="D53" s="324">
        <v>3550000</v>
      </c>
      <c r="E53" s="324">
        <f>D53*C53</f>
        <v>15442499.999999998</v>
      </c>
      <c r="F53" s="256"/>
    </row>
    <row r="54" spans="1:6">
      <c r="A54" s="256"/>
      <c r="B54" s="256">
        <v>355</v>
      </c>
      <c r="C54" s="323">
        <f>C53</f>
        <v>4.3499999999999996</v>
      </c>
      <c r="D54" s="324">
        <v>4000</v>
      </c>
      <c r="E54" s="324">
        <f>D54*C54*B54</f>
        <v>6177000</v>
      </c>
      <c r="F54" s="256"/>
    </row>
    <row r="55" spans="1:6">
      <c r="A55" s="256"/>
      <c r="B55" s="256"/>
      <c r="C55" s="323"/>
      <c r="D55" s="256"/>
      <c r="E55" s="324"/>
      <c r="F55" s="324">
        <f>SUM(E53:E54)</f>
        <v>21619500</v>
      </c>
    </row>
    <row r="56" spans="1:6">
      <c r="A56" s="330"/>
      <c r="B56" s="265"/>
      <c r="C56" s="265"/>
      <c r="D56" s="223"/>
      <c r="E56" s="223"/>
      <c r="F56" s="223"/>
    </row>
    <row r="57" spans="1:6" ht="15.75">
      <c r="A57" s="325" t="s">
        <v>265</v>
      </c>
      <c r="B57" s="326"/>
      <c r="C57" s="246"/>
      <c r="D57" s="329"/>
      <c r="E57" s="328"/>
      <c r="F57" s="298"/>
    </row>
    <row r="58" spans="1:6">
      <c r="A58" s="256" t="s">
        <v>269</v>
      </c>
      <c r="B58" s="256"/>
      <c r="C58" s="323">
        <f>(20*20)/6</f>
        <v>66.666666666666671</v>
      </c>
      <c r="D58" s="324">
        <v>618000</v>
      </c>
      <c r="E58" s="324">
        <f>D58*C58</f>
        <v>41200000</v>
      </c>
      <c r="F58" s="256"/>
    </row>
    <row r="59" spans="1:6">
      <c r="A59" s="256"/>
      <c r="B59" s="256">
        <v>355</v>
      </c>
      <c r="C59" s="323">
        <f>C58</f>
        <v>66.666666666666671</v>
      </c>
      <c r="D59" s="324">
        <v>4000</v>
      </c>
      <c r="E59" s="324">
        <f>D59*C59*B59</f>
        <v>94666666.666666672</v>
      </c>
      <c r="F59" s="256"/>
    </row>
    <row r="60" spans="1:6">
      <c r="A60" s="256"/>
      <c r="B60" s="256"/>
      <c r="C60" s="323"/>
      <c r="D60" s="256"/>
      <c r="E60" s="324"/>
      <c r="F60" s="324">
        <f>SUM(E58:E59)</f>
        <v>135866666.66666669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F6A4F5-4E9A-4ED0-A981-C1410279A5B6}">
  <dimension ref="B1:P242"/>
  <sheetViews>
    <sheetView topLeftCell="J46" workbookViewId="0">
      <selection activeCell="S78" sqref="S78"/>
    </sheetView>
  </sheetViews>
  <sheetFormatPr defaultColWidth="8.85546875" defaultRowHeight="15"/>
  <cols>
    <col min="1" max="1" width="8.85546875" style="226"/>
    <col min="2" max="2" width="6.140625" style="226" customWidth="1"/>
    <col min="3" max="3" width="30" style="226" customWidth="1"/>
    <col min="4" max="4" width="8.85546875" style="226"/>
    <col min="5" max="5" width="11.5703125" style="226" customWidth="1"/>
    <col min="6" max="6" width="11.28515625" style="226" customWidth="1"/>
    <col min="7" max="7" width="13.140625" style="226" customWidth="1"/>
    <col min="8" max="8" width="15.28515625" style="226" customWidth="1"/>
    <col min="9" max="9" width="8.85546875" style="226"/>
    <col min="10" max="10" width="7.28515625" style="226" customWidth="1"/>
    <col min="11" max="11" width="22.7109375" style="226" customWidth="1"/>
    <col min="12" max="13" width="9.28515625" style="226" bestFit="1" customWidth="1"/>
    <col min="14" max="14" width="10.28515625" style="226" customWidth="1"/>
    <col min="15" max="15" width="12.7109375" style="226" bestFit="1" customWidth="1"/>
    <col min="16" max="16" width="16.5703125" style="226" customWidth="1"/>
    <col min="17" max="16384" width="8.85546875" style="226"/>
  </cols>
  <sheetData>
    <row r="1" spans="2:11">
      <c r="B1" s="222" t="s">
        <v>188</v>
      </c>
      <c r="C1" s="223"/>
      <c r="D1" s="223"/>
      <c r="E1" s="223"/>
      <c r="F1" s="223"/>
    </row>
    <row r="2" spans="2:11">
      <c r="B2" s="222" t="s">
        <v>814</v>
      </c>
      <c r="C2" s="223"/>
      <c r="D2" s="223"/>
      <c r="E2" s="223"/>
      <c r="F2" s="223"/>
    </row>
    <row r="3" spans="2:11">
      <c r="B3" s="222"/>
      <c r="C3" s="223"/>
      <c r="D3" s="223"/>
      <c r="E3" s="223"/>
      <c r="F3" s="223"/>
    </row>
    <row r="4" spans="2:11">
      <c r="B4" s="224" t="s">
        <v>11</v>
      </c>
      <c r="C4" s="225" t="s">
        <v>190</v>
      </c>
      <c r="D4" s="223"/>
      <c r="E4" s="223"/>
      <c r="F4" s="223"/>
    </row>
    <row r="5" spans="2:11">
      <c r="C5" s="223">
        <v>2</v>
      </c>
      <c r="D5" s="225">
        <v>12</v>
      </c>
      <c r="E5" s="223">
        <f>D5*C5</f>
        <v>24</v>
      </c>
      <c r="F5" s="223"/>
    </row>
    <row r="6" spans="2:11">
      <c r="C6" s="223">
        <v>2</v>
      </c>
      <c r="D6" s="225">
        <v>20</v>
      </c>
      <c r="E6" s="223">
        <f>D6*C6</f>
        <v>40</v>
      </c>
      <c r="F6" s="223"/>
    </row>
    <row r="7" spans="2:11">
      <c r="C7" s="223"/>
      <c r="D7" s="225"/>
      <c r="E7" s="223"/>
      <c r="F7" s="227">
        <f>SUM(E5:E6)</f>
        <v>64</v>
      </c>
    </row>
    <row r="8" spans="2:11" ht="17.25">
      <c r="B8" s="224" t="s">
        <v>12</v>
      </c>
      <c r="C8" s="228" t="s">
        <v>191</v>
      </c>
      <c r="D8" s="229"/>
      <c r="E8" s="223"/>
      <c r="F8" s="223"/>
    </row>
    <row r="9" spans="2:11">
      <c r="C9" s="223"/>
      <c r="D9" s="223"/>
      <c r="E9" s="223"/>
      <c r="F9" s="223"/>
    </row>
    <row r="10" spans="2:11">
      <c r="B10" s="226">
        <v>1</v>
      </c>
      <c r="C10" s="223" t="s">
        <v>192</v>
      </c>
      <c r="D10" s="223"/>
      <c r="E10" s="223"/>
      <c r="F10" s="223"/>
    </row>
    <row r="11" spans="2:11">
      <c r="C11" s="223"/>
      <c r="D11" s="223"/>
      <c r="E11" s="230" t="s">
        <v>193</v>
      </c>
      <c r="F11" s="230" t="s">
        <v>194</v>
      </c>
    </row>
    <row r="12" spans="2:11" ht="18">
      <c r="C12" s="231" t="s">
        <v>199</v>
      </c>
      <c r="D12" s="232" t="s">
        <v>759</v>
      </c>
      <c r="E12" s="223">
        <v>7</v>
      </c>
      <c r="F12" s="223"/>
      <c r="G12" s="263"/>
      <c r="H12" s="264" t="s">
        <v>216</v>
      </c>
      <c r="I12" s="265" t="s">
        <v>217</v>
      </c>
      <c r="J12" s="236" t="s">
        <v>218</v>
      </c>
      <c r="K12" s="236"/>
    </row>
    <row r="13" spans="2:11" ht="18">
      <c r="C13" s="231" t="s">
        <v>202</v>
      </c>
      <c r="D13" s="232" t="s">
        <v>758</v>
      </c>
      <c r="E13" s="223">
        <v>12</v>
      </c>
      <c r="F13" s="223"/>
      <c r="G13" s="270" t="s">
        <v>221</v>
      </c>
      <c r="H13" s="264">
        <v>310000</v>
      </c>
      <c r="I13" s="265">
        <v>13.6</v>
      </c>
      <c r="J13" s="236">
        <f>I13*H13</f>
        <v>4216000</v>
      </c>
      <c r="K13" s="237"/>
    </row>
    <row r="14" spans="2:11" ht="18">
      <c r="C14" s="231"/>
      <c r="D14" s="232" t="s">
        <v>198</v>
      </c>
      <c r="E14" s="223">
        <v>2</v>
      </c>
      <c r="F14" s="223"/>
      <c r="G14" s="251" t="s">
        <v>223</v>
      </c>
      <c r="H14" s="264">
        <v>50000</v>
      </c>
      <c r="I14" s="265">
        <f>I13</f>
        <v>13.6</v>
      </c>
      <c r="J14" s="236">
        <f>I14*H14</f>
        <v>680000</v>
      </c>
      <c r="K14" s="242"/>
    </row>
    <row r="15" spans="2:11" ht="15.75">
      <c r="C15" s="231"/>
      <c r="D15" s="232"/>
      <c r="E15" s="223">
        <v>2</v>
      </c>
      <c r="F15" s="223"/>
      <c r="G15" s="274" t="s">
        <v>225</v>
      </c>
      <c r="H15" s="274"/>
      <c r="I15" s="265"/>
      <c r="J15" s="246"/>
      <c r="K15" s="275">
        <f>SUM(J13:J14)</f>
        <v>4896000</v>
      </c>
    </row>
    <row r="16" spans="2:11">
      <c r="C16" s="231" t="s">
        <v>416</v>
      </c>
      <c r="D16" s="232" t="s">
        <v>201</v>
      </c>
      <c r="E16" s="233">
        <v>9.6</v>
      </c>
      <c r="F16" s="223"/>
    </row>
    <row r="17" spans="3:6">
      <c r="C17" s="231"/>
      <c r="D17" s="232" t="s">
        <v>198</v>
      </c>
      <c r="E17" s="233">
        <v>4</v>
      </c>
      <c r="F17" s="223"/>
    </row>
    <row r="18" spans="3:6">
      <c r="C18" s="231" t="s">
        <v>417</v>
      </c>
      <c r="D18" s="232" t="s">
        <v>197</v>
      </c>
      <c r="E18" s="223">
        <v>16</v>
      </c>
      <c r="F18" s="223"/>
    </row>
    <row r="19" spans="3:6">
      <c r="C19" s="231"/>
      <c r="D19" s="232"/>
      <c r="E19" s="223">
        <v>16</v>
      </c>
      <c r="F19" s="223"/>
    </row>
    <row r="20" spans="3:6">
      <c r="C20" s="231"/>
      <c r="D20" s="232" t="s">
        <v>198</v>
      </c>
      <c r="E20" s="223">
        <v>2</v>
      </c>
      <c r="F20" s="223"/>
    </row>
    <row r="21" spans="3:6">
      <c r="C21" s="231" t="s">
        <v>63</v>
      </c>
      <c r="D21" s="232" t="s">
        <v>757</v>
      </c>
      <c r="E21" s="223">
        <v>18</v>
      </c>
      <c r="F21" s="223"/>
    </row>
    <row r="22" spans="3:6">
      <c r="F22" s="223"/>
    </row>
    <row r="23" spans="3:6">
      <c r="C23" s="231"/>
      <c r="D23" s="241"/>
      <c r="E23" s="223"/>
      <c r="F23" s="223"/>
    </row>
    <row r="24" spans="3:6">
      <c r="C24" s="245">
        <v>1</v>
      </c>
      <c r="D24" s="232" t="s">
        <v>754</v>
      </c>
      <c r="E24" s="233">
        <v>9</v>
      </c>
      <c r="F24" s="223"/>
    </row>
    <row r="25" spans="3:6">
      <c r="C25" s="245"/>
      <c r="D25" s="232" t="s">
        <v>756</v>
      </c>
      <c r="E25" s="223">
        <v>11</v>
      </c>
      <c r="F25" s="223"/>
    </row>
    <row r="26" spans="3:6">
      <c r="C26" s="245">
        <v>2</v>
      </c>
      <c r="D26" s="232" t="s">
        <v>754</v>
      </c>
      <c r="E26" s="223">
        <v>9</v>
      </c>
      <c r="F26" s="223"/>
    </row>
    <row r="27" spans="3:6">
      <c r="C27" s="254">
        <v>3</v>
      </c>
      <c r="D27" s="232" t="s">
        <v>755</v>
      </c>
      <c r="E27" s="223">
        <v>4</v>
      </c>
      <c r="F27" s="223"/>
    </row>
    <row r="28" spans="3:6">
      <c r="C28" s="254">
        <v>5</v>
      </c>
      <c r="D28" s="232" t="s">
        <v>754</v>
      </c>
      <c r="E28" s="223">
        <v>9</v>
      </c>
      <c r="F28" s="223"/>
    </row>
    <row r="29" spans="3:6">
      <c r="C29" s="245"/>
      <c r="D29" s="232" t="s">
        <v>207</v>
      </c>
      <c r="E29" s="223"/>
      <c r="F29" s="223">
        <f>SUM(E12:E28)</f>
        <v>130.6</v>
      </c>
    </row>
    <row r="31" spans="3:6">
      <c r="C31" s="226" t="s">
        <v>753</v>
      </c>
      <c r="E31" s="226" t="s">
        <v>752</v>
      </c>
      <c r="F31" s="226" t="s">
        <v>751</v>
      </c>
    </row>
    <row r="32" spans="3:6">
      <c r="E32" s="226">
        <v>10.33</v>
      </c>
      <c r="F32" s="226">
        <v>64.66</v>
      </c>
    </row>
    <row r="33" spans="5:11">
      <c r="E33" s="226">
        <v>10.33</v>
      </c>
      <c r="F33" s="226">
        <v>44</v>
      </c>
    </row>
    <row r="34" spans="5:11">
      <c r="E34" s="226">
        <v>11.69</v>
      </c>
      <c r="F34" s="226">
        <v>17.989999999999998</v>
      </c>
    </row>
    <row r="35" spans="5:11">
      <c r="E35" s="226">
        <v>8.19</v>
      </c>
      <c r="F35" s="226">
        <v>5.59</v>
      </c>
    </row>
    <row r="36" spans="5:11">
      <c r="E36" s="226">
        <v>14</v>
      </c>
      <c r="F36" s="226">
        <v>2.75</v>
      </c>
    </row>
    <row r="37" spans="5:11">
      <c r="E37" s="226">
        <v>9.6300000000000008</v>
      </c>
      <c r="F37" s="226">
        <v>0.57999999999999996</v>
      </c>
    </row>
    <row r="38" spans="5:11">
      <c r="E38" s="226">
        <v>5.6</v>
      </c>
      <c r="F38" s="226">
        <v>5.72</v>
      </c>
    </row>
    <row r="39" spans="5:11">
      <c r="E39" s="226">
        <v>24.16</v>
      </c>
      <c r="G39" s="226">
        <f>SUM(F32:F38)</f>
        <v>141.29</v>
      </c>
    </row>
    <row r="40" spans="5:11">
      <c r="E40" s="226">
        <v>34.17</v>
      </c>
    </row>
    <row r="41" spans="5:11">
      <c r="E41" s="226">
        <v>38.15</v>
      </c>
    </row>
    <row r="42" spans="5:11">
      <c r="E42" s="226">
        <v>14.4</v>
      </c>
      <c r="G42" s="226" t="s">
        <v>441</v>
      </c>
      <c r="H42" s="226">
        <v>151.19</v>
      </c>
    </row>
    <row r="43" spans="5:11">
      <c r="E43" s="226">
        <v>5.18</v>
      </c>
      <c r="H43" s="226">
        <v>139.96</v>
      </c>
    </row>
    <row r="44" spans="5:11">
      <c r="E44" s="226">
        <v>7.42</v>
      </c>
      <c r="H44" s="226">
        <v>16.88</v>
      </c>
    </row>
    <row r="45" spans="5:11">
      <c r="E45" s="226">
        <v>3.43</v>
      </c>
      <c r="I45" s="226">
        <f>SUM(H42:H44)</f>
        <v>308.02999999999997</v>
      </c>
    </row>
    <row r="46" spans="5:11">
      <c r="E46" s="226">
        <v>4.4400000000000004</v>
      </c>
      <c r="J46" s="226" t="s">
        <v>750</v>
      </c>
      <c r="K46" s="226">
        <v>80.989999999999995</v>
      </c>
    </row>
    <row r="47" spans="5:11">
      <c r="E47" s="226">
        <v>4.9800000000000004</v>
      </c>
      <c r="K47" s="226">
        <v>32</v>
      </c>
    </row>
    <row r="48" spans="5:11">
      <c r="E48" s="226">
        <v>8.5500000000000007</v>
      </c>
      <c r="K48" s="226">
        <v>14.15</v>
      </c>
    </row>
    <row r="49" spans="2:16">
      <c r="G49" s="226">
        <f>SUM(E32:E48)</f>
        <v>214.65</v>
      </c>
      <c r="K49" s="226">
        <f>SUM(K46:K48)</f>
        <v>127.14</v>
      </c>
    </row>
    <row r="50" spans="2:16" ht="15.75">
      <c r="L50" s="246" t="s">
        <v>301</v>
      </c>
      <c r="M50" s="246" t="s">
        <v>453</v>
      </c>
      <c r="N50" s="246" t="s">
        <v>21</v>
      </c>
    </row>
    <row r="51" spans="2:16" ht="18">
      <c r="C51" s="257" t="s">
        <v>214</v>
      </c>
      <c r="D51" s="258">
        <f>1.2*1.2*0.3</f>
        <v>0.432</v>
      </c>
      <c r="E51" s="259" t="s">
        <v>215</v>
      </c>
      <c r="F51" s="260"/>
      <c r="G51" s="261"/>
      <c r="K51" s="296" t="s">
        <v>749</v>
      </c>
      <c r="L51" s="246">
        <v>11250</v>
      </c>
      <c r="M51" s="246">
        <v>440</v>
      </c>
      <c r="N51" s="246">
        <f>(9.3*2)/12</f>
        <v>1.55</v>
      </c>
      <c r="O51" s="328">
        <f>N51*M51*L51</f>
        <v>7672500</v>
      </c>
      <c r="P51" s="299"/>
    </row>
    <row r="52" spans="2:16" ht="15.75">
      <c r="C52" s="266" t="s">
        <v>219</v>
      </c>
      <c r="D52" s="267">
        <f>D51*6</f>
        <v>2.5920000000000001</v>
      </c>
      <c r="E52" s="268" t="s">
        <v>220</v>
      </c>
      <c r="F52" s="269">
        <v>55000</v>
      </c>
      <c r="G52" s="269">
        <f>D52*F52</f>
        <v>142560</v>
      </c>
      <c r="K52" s="246" t="s">
        <v>229</v>
      </c>
      <c r="L52" s="246">
        <v>4000</v>
      </c>
      <c r="M52" s="246">
        <f>M51*N51</f>
        <v>682</v>
      </c>
      <c r="N52" s="246">
        <v>1</v>
      </c>
      <c r="O52" s="328">
        <f>N52*M52*L52</f>
        <v>2728000</v>
      </c>
      <c r="P52" s="299"/>
    </row>
    <row r="53" spans="2:16" ht="18">
      <c r="C53" s="266" t="s">
        <v>222</v>
      </c>
      <c r="D53" s="267">
        <f>D51*0.52</f>
        <v>0.22464000000000001</v>
      </c>
      <c r="E53" s="268" t="s">
        <v>215</v>
      </c>
      <c r="F53" s="269">
        <v>380000</v>
      </c>
      <c r="G53" s="269">
        <f>D53*F53</f>
        <v>85363.199999999997</v>
      </c>
      <c r="K53" s="296" t="s">
        <v>450</v>
      </c>
      <c r="L53" s="296"/>
      <c r="M53" s="296"/>
      <c r="N53" s="296"/>
      <c r="O53" s="297"/>
      <c r="P53" s="299">
        <f>SUM(O51:O52)</f>
        <v>10400500</v>
      </c>
    </row>
    <row r="54" spans="2:16" ht="18">
      <c r="C54" s="266" t="s">
        <v>224</v>
      </c>
      <c r="D54" s="267">
        <f>D51*0.82</f>
        <v>0.35424</v>
      </c>
      <c r="E54" s="268" t="s">
        <v>215</v>
      </c>
      <c r="F54" s="269">
        <v>280000</v>
      </c>
      <c r="G54" s="269">
        <f>D54*F54</f>
        <v>99187.199999999997</v>
      </c>
    </row>
    <row r="55" spans="2:16" ht="15.75">
      <c r="C55" s="266" t="s">
        <v>226</v>
      </c>
      <c r="D55" s="267">
        <v>3</v>
      </c>
      <c r="E55" s="268" t="s">
        <v>20</v>
      </c>
      <c r="F55" s="276">
        <v>100000</v>
      </c>
      <c r="G55" s="269">
        <f>F55*D55</f>
        <v>300000</v>
      </c>
      <c r="K55" s="325" t="s">
        <v>265</v>
      </c>
      <c r="L55" s="326"/>
      <c r="M55" s="246"/>
      <c r="N55" s="329"/>
      <c r="O55" s="328"/>
      <c r="P55" s="298"/>
    </row>
    <row r="56" spans="2:16" ht="15.75">
      <c r="C56" s="266" t="s">
        <v>227</v>
      </c>
      <c r="D56" s="267">
        <f>D57/50</f>
        <v>0.75</v>
      </c>
      <c r="E56" s="268" t="s">
        <v>17</v>
      </c>
      <c r="F56" s="269">
        <v>20000</v>
      </c>
      <c r="G56" s="269">
        <f>F56*D56</f>
        <v>15000</v>
      </c>
      <c r="K56" s="256" t="s">
        <v>269</v>
      </c>
      <c r="L56" s="256"/>
      <c r="M56" s="323">
        <f>(24*16+21)/6</f>
        <v>67.5</v>
      </c>
      <c r="N56" s="324">
        <v>618000</v>
      </c>
      <c r="O56" s="324">
        <f>N56*M56</f>
        <v>41715000</v>
      </c>
      <c r="P56" s="256"/>
    </row>
    <row r="57" spans="2:16" ht="15.75">
      <c r="C57" s="266" t="s">
        <v>228</v>
      </c>
      <c r="D57" s="267">
        <f>D55*12.5</f>
        <v>37.5</v>
      </c>
      <c r="E57" s="268" t="s">
        <v>17</v>
      </c>
      <c r="F57" s="269">
        <v>3000</v>
      </c>
      <c r="G57" s="269">
        <f>D57*F57</f>
        <v>112500</v>
      </c>
      <c r="K57" s="256"/>
      <c r="L57" s="256">
        <v>40.6</v>
      </c>
      <c r="M57" s="323">
        <f>M56</f>
        <v>67.5</v>
      </c>
      <c r="N57" s="324">
        <v>4000</v>
      </c>
      <c r="O57" s="324">
        <f>N57*M57*L57</f>
        <v>10962000</v>
      </c>
      <c r="P57" s="256"/>
    </row>
    <row r="58" spans="2:16" ht="18">
      <c r="C58" s="279" t="s">
        <v>229</v>
      </c>
      <c r="D58" s="280">
        <f>D51</f>
        <v>0.432</v>
      </c>
      <c r="E58" s="281" t="s">
        <v>215</v>
      </c>
      <c r="F58" s="282">
        <v>300000</v>
      </c>
      <c r="G58" s="282">
        <f>D58*F58</f>
        <v>129600</v>
      </c>
      <c r="K58" s="256"/>
      <c r="L58" s="256"/>
      <c r="M58" s="323"/>
      <c r="N58" s="256"/>
      <c r="O58" s="324"/>
      <c r="P58" s="324">
        <f>SUM(O56:O57)</f>
        <v>52677000</v>
      </c>
    </row>
    <row r="59" spans="2:16" ht="15.75">
      <c r="C59" s="1147" t="s">
        <v>230</v>
      </c>
      <c r="D59" s="1147"/>
      <c r="E59" s="1147"/>
      <c r="F59" s="1147"/>
      <c r="G59" s="283">
        <f>SUM(G52:G58)</f>
        <v>884210.4</v>
      </c>
      <c r="H59" s="226">
        <f>G59/D51</f>
        <v>2046783.3333333335</v>
      </c>
      <c r="K59" s="296" t="s">
        <v>748</v>
      </c>
      <c r="L59" s="246">
        <v>9900</v>
      </c>
      <c r="M59" s="246">
        <v>168</v>
      </c>
      <c r="N59" s="246">
        <v>0.5</v>
      </c>
      <c r="O59" s="328">
        <f>N59*M59*L59</f>
        <v>831600</v>
      </c>
      <c r="P59" s="299"/>
    </row>
    <row r="60" spans="2:16" ht="15.75">
      <c r="K60" s="246" t="s">
        <v>229</v>
      </c>
      <c r="L60" s="246">
        <v>4000</v>
      </c>
      <c r="M60" s="246">
        <f>M59*N59</f>
        <v>84</v>
      </c>
      <c r="N60" s="246">
        <v>1</v>
      </c>
      <c r="O60" s="328">
        <f>N60*M60*L60</f>
        <v>336000</v>
      </c>
      <c r="P60" s="299"/>
    </row>
    <row r="61" spans="2:16" ht="15.75">
      <c r="C61" s="246"/>
      <c r="D61" s="246" t="s">
        <v>301</v>
      </c>
      <c r="E61" s="246" t="s">
        <v>453</v>
      </c>
      <c r="F61" s="246" t="s">
        <v>21</v>
      </c>
      <c r="G61" s="328"/>
      <c r="H61" s="299"/>
      <c r="K61" s="296" t="s">
        <v>450</v>
      </c>
      <c r="L61" s="296"/>
      <c r="M61" s="296"/>
      <c r="N61" s="296"/>
      <c r="O61" s="297"/>
      <c r="P61" s="299">
        <f>SUM(O59:O60)</f>
        <v>1167600</v>
      </c>
    </row>
    <row r="62" spans="2:16" ht="15.75">
      <c r="B62" s="378"/>
      <c r="C62" s="296" t="s">
        <v>454</v>
      </c>
      <c r="D62" s="246">
        <v>11250</v>
      </c>
      <c r="E62" s="246">
        <v>440</v>
      </c>
      <c r="F62" s="246">
        <f>(6*7)/12</f>
        <v>3.5</v>
      </c>
      <c r="G62" s="328">
        <f>F62*E62*D62</f>
        <v>17325000</v>
      </c>
      <c r="H62" s="299"/>
    </row>
    <row r="63" spans="2:16" ht="15.75">
      <c r="B63" s="378"/>
      <c r="C63" s="246" t="s">
        <v>229</v>
      </c>
      <c r="D63" s="246">
        <v>4000</v>
      </c>
      <c r="E63" s="246">
        <f>E62*F62</f>
        <v>1540</v>
      </c>
      <c r="F63" s="246">
        <v>1</v>
      </c>
      <c r="G63" s="328">
        <f>F63*E63*D63</f>
        <v>6160000</v>
      </c>
      <c r="H63" s="299"/>
    </row>
    <row r="64" spans="2:16" ht="15.75">
      <c r="B64" s="378"/>
      <c r="C64" s="296" t="s">
        <v>450</v>
      </c>
      <c r="D64" s="296"/>
      <c r="E64" s="296"/>
      <c r="F64" s="296"/>
      <c r="G64" s="297"/>
      <c r="H64" s="299">
        <f>SUM(G62:G63)</f>
        <v>23485000</v>
      </c>
    </row>
    <row r="65" spans="2:8" ht="15.75">
      <c r="B65" s="378"/>
      <c r="C65" s="296" t="s">
        <v>747</v>
      </c>
      <c r="D65" s="296">
        <f>D62</f>
        <v>11250</v>
      </c>
      <c r="E65" s="296">
        <v>440</v>
      </c>
      <c r="F65" s="809">
        <f>(14*3)/12</f>
        <v>3.5</v>
      </c>
      <c r="G65" s="328">
        <f>F65*E65*D65</f>
        <v>17325000</v>
      </c>
      <c r="H65" s="299"/>
    </row>
    <row r="66" spans="2:8" ht="15.75">
      <c r="C66" s="296" t="s">
        <v>229</v>
      </c>
      <c r="D66" s="296">
        <v>4000</v>
      </c>
      <c r="E66" s="809">
        <f>E65*F65</f>
        <v>1540</v>
      </c>
      <c r="F66" s="296">
        <v>1</v>
      </c>
      <c r="G66" s="328">
        <f>F66*E66*D66</f>
        <v>6160000</v>
      </c>
      <c r="H66" s="299"/>
    </row>
    <row r="67" spans="2:8" ht="15.75">
      <c r="C67" s="296" t="s">
        <v>450</v>
      </c>
      <c r="D67" s="296"/>
      <c r="E67" s="296"/>
      <c r="F67" s="296"/>
      <c r="G67" s="297"/>
      <c r="H67" s="299">
        <f>SUM(G65:G66)</f>
        <v>23485000</v>
      </c>
    </row>
    <row r="68" spans="2:8" ht="15.75">
      <c r="B68" s="378"/>
      <c r="C68" s="296" t="s">
        <v>746</v>
      </c>
      <c r="D68" s="246">
        <v>9900</v>
      </c>
      <c r="E68" s="246">
        <v>168</v>
      </c>
      <c r="F68" s="246">
        <v>0.5</v>
      </c>
      <c r="G68" s="328">
        <f>F68*E68*D68</f>
        <v>831600</v>
      </c>
      <c r="H68" s="299"/>
    </row>
    <row r="69" spans="2:8" ht="15.75">
      <c r="B69" s="378"/>
      <c r="C69" s="246" t="s">
        <v>229</v>
      </c>
      <c r="D69" s="246">
        <v>4000</v>
      </c>
      <c r="E69" s="246">
        <f>E68*F68</f>
        <v>84</v>
      </c>
      <c r="F69" s="246">
        <v>1</v>
      </c>
      <c r="G69" s="328">
        <f>F69*E69*D69</f>
        <v>336000</v>
      </c>
      <c r="H69" s="299"/>
    </row>
    <row r="70" spans="2:8" ht="15.75">
      <c r="B70" s="378"/>
      <c r="C70" s="296" t="s">
        <v>450</v>
      </c>
      <c r="D70" s="296"/>
      <c r="E70" s="296"/>
      <c r="F70" s="296"/>
      <c r="G70" s="297"/>
      <c r="H70" s="299">
        <f>SUM(G68:G69)</f>
        <v>1167600</v>
      </c>
    </row>
    <row r="71" spans="2:8" ht="15.75">
      <c r="B71" s="378"/>
      <c r="C71" s="296"/>
      <c r="D71" s="296"/>
      <c r="E71" s="296"/>
      <c r="F71" s="296"/>
      <c r="G71" s="297"/>
      <c r="H71" s="299"/>
    </row>
    <row r="72" spans="2:8" ht="15.75">
      <c r="B72" s="378"/>
      <c r="C72" s="296"/>
      <c r="D72" s="296"/>
      <c r="E72" s="296"/>
      <c r="F72" s="296"/>
      <c r="G72" s="297"/>
      <c r="H72" s="299"/>
    </row>
    <row r="73" spans="2:8" ht="15.75">
      <c r="B73" s="378"/>
      <c r="C73" s="296"/>
      <c r="D73" s="296"/>
      <c r="E73" s="296"/>
      <c r="F73" s="296"/>
      <c r="G73" s="297"/>
      <c r="H73" s="299"/>
    </row>
    <row r="74" spans="2:8" ht="15.75">
      <c r="B74" s="378"/>
      <c r="C74" s="296"/>
      <c r="D74" s="296"/>
      <c r="E74" s="296"/>
      <c r="F74" s="296"/>
      <c r="G74" s="297"/>
      <c r="H74" s="299"/>
    </row>
    <row r="75" spans="2:8" ht="15.75">
      <c r="B75" s="378"/>
      <c r="C75" s="296"/>
      <c r="D75" s="296"/>
      <c r="E75" s="296"/>
      <c r="F75" s="296"/>
      <c r="G75" s="297"/>
      <c r="H75" s="299"/>
    </row>
    <row r="76" spans="2:8" ht="15.75">
      <c r="B76" s="378"/>
      <c r="C76" s="296" t="s">
        <v>745</v>
      </c>
      <c r="D76" s="296">
        <v>11250</v>
      </c>
      <c r="E76" s="296">
        <v>440</v>
      </c>
      <c r="F76" s="809">
        <f>88.6/12</f>
        <v>7.3833333333333329</v>
      </c>
      <c r="G76" s="328">
        <f>F76*E76*D76</f>
        <v>36547500</v>
      </c>
      <c r="H76" s="299"/>
    </row>
    <row r="77" spans="2:8" ht="15.75">
      <c r="C77" s="296" t="s">
        <v>229</v>
      </c>
      <c r="D77" s="296">
        <v>4000</v>
      </c>
      <c r="E77" s="809">
        <f>E76*F76</f>
        <v>3248.6666666666665</v>
      </c>
      <c r="F77" s="296">
        <v>1</v>
      </c>
      <c r="G77" s="328">
        <f>F77*E77*D77</f>
        <v>12994666.666666666</v>
      </c>
      <c r="H77" s="299"/>
    </row>
    <row r="78" spans="2:8" ht="15.75">
      <c r="C78" s="296" t="s">
        <v>450</v>
      </c>
      <c r="D78" s="296"/>
      <c r="E78" s="296"/>
      <c r="F78" s="296"/>
      <c r="G78" s="297"/>
      <c r="H78" s="299">
        <f>SUM(G76:G77)</f>
        <v>49542166.666666664</v>
      </c>
    </row>
    <row r="79" spans="2:8" ht="15.75">
      <c r="B79" s="378"/>
      <c r="C79" s="296" t="s">
        <v>744</v>
      </c>
      <c r="D79" s="296">
        <f>D76</f>
        <v>11250</v>
      </c>
      <c r="E79" s="296">
        <v>440</v>
      </c>
      <c r="F79" s="809">
        <f>24/12</f>
        <v>2</v>
      </c>
      <c r="G79" s="328">
        <f>F79*E79*D79</f>
        <v>9900000</v>
      </c>
      <c r="H79" s="299"/>
    </row>
    <row r="80" spans="2:8" ht="15.75">
      <c r="C80" s="296" t="s">
        <v>229</v>
      </c>
      <c r="D80" s="296">
        <v>4000</v>
      </c>
      <c r="E80" s="809">
        <f>E79*F79</f>
        <v>880</v>
      </c>
      <c r="F80" s="296">
        <v>1</v>
      </c>
      <c r="G80" s="328">
        <f>F80*E80*D80</f>
        <v>3520000</v>
      </c>
      <c r="H80" s="299"/>
    </row>
    <row r="81" spans="3:8" ht="15.75">
      <c r="C81" s="296" t="s">
        <v>450</v>
      </c>
      <c r="D81" s="296"/>
      <c r="E81" s="296"/>
      <c r="F81" s="296"/>
      <c r="G81" s="297"/>
      <c r="H81" s="299">
        <f>SUM(G79:G80)</f>
        <v>13420000</v>
      </c>
    </row>
    <row r="82" spans="3:8">
      <c r="C82" s="256" t="s">
        <v>263</v>
      </c>
      <c r="D82" s="256" t="s">
        <v>743</v>
      </c>
      <c r="E82" s="323">
        <f>46/12</f>
        <v>3.8333333333333335</v>
      </c>
      <c r="F82" s="324">
        <v>3550000</v>
      </c>
      <c r="G82" s="324">
        <f>F82*E82</f>
        <v>13608333.333333334</v>
      </c>
      <c r="H82" s="256"/>
    </row>
    <row r="83" spans="3:8">
      <c r="C83" s="256"/>
      <c r="D83" s="256">
        <v>355</v>
      </c>
      <c r="E83" s="323">
        <f>E82</f>
        <v>3.8333333333333335</v>
      </c>
      <c r="F83" s="324">
        <v>4000</v>
      </c>
      <c r="G83" s="324">
        <f>F83*E83*D83</f>
        <v>5443333.333333334</v>
      </c>
      <c r="H83" s="256"/>
    </row>
    <row r="84" spans="3:8">
      <c r="C84" s="256"/>
      <c r="D84" s="256"/>
      <c r="E84" s="323"/>
      <c r="F84" s="324"/>
      <c r="G84" s="324"/>
      <c r="H84" s="324">
        <f>SUM(G82:G83)</f>
        <v>19051666.666666668</v>
      </c>
    </row>
    <row r="86" spans="3:8" ht="15.75">
      <c r="C86" s="296" t="s">
        <v>742</v>
      </c>
      <c r="D86" s="226">
        <f>7.64*2</f>
        <v>15.28</v>
      </c>
      <c r="E86" s="226">
        <f>9.9*2</f>
        <v>19.8</v>
      </c>
      <c r="G86" s="226">
        <f>E86+D86</f>
        <v>35.08</v>
      </c>
    </row>
    <row r="87" spans="3:8">
      <c r="D87" s="226">
        <f>5.84*4</f>
        <v>23.36</v>
      </c>
      <c r="E87" s="226">
        <v>4.03</v>
      </c>
      <c r="F87" s="226">
        <v>1</v>
      </c>
      <c r="G87" s="226">
        <f>F87+E87+D87</f>
        <v>28.39</v>
      </c>
    </row>
    <row r="88" spans="3:8" ht="15.75">
      <c r="C88" s="296" t="s">
        <v>741</v>
      </c>
      <c r="H88" s="808">
        <f>SUM(G86:G87)</f>
        <v>63.47</v>
      </c>
    </row>
    <row r="89" spans="3:8">
      <c r="C89" s="226" t="s">
        <v>740</v>
      </c>
      <c r="D89" s="226">
        <v>0.55000000000000004</v>
      </c>
    </row>
    <row r="90" spans="3:8">
      <c r="D90" s="226">
        <v>3.49</v>
      </c>
    </row>
    <row r="91" spans="3:8">
      <c r="D91" s="226">
        <f>4.04*4</f>
        <v>16.16</v>
      </c>
    </row>
    <row r="92" spans="3:8">
      <c r="D92" s="226">
        <v>3.43</v>
      </c>
    </row>
    <row r="93" spans="3:8">
      <c r="D93" s="226">
        <f>4.12+3</f>
        <v>7.12</v>
      </c>
    </row>
    <row r="94" spans="3:8">
      <c r="D94" s="226">
        <f>4.81*2</f>
        <v>9.6199999999999992</v>
      </c>
    </row>
    <row r="95" spans="3:8">
      <c r="D95" s="226">
        <v>0.55000000000000004</v>
      </c>
    </row>
    <row r="96" spans="3:8">
      <c r="D96" s="226">
        <v>3.49</v>
      </c>
    </row>
    <row r="97" spans="3:6">
      <c r="E97" s="226">
        <f>SUM(D89:D96)</f>
        <v>44.41</v>
      </c>
    </row>
    <row r="99" spans="3:6">
      <c r="C99" s="226" t="s">
        <v>739</v>
      </c>
      <c r="D99" s="226">
        <v>2.8</v>
      </c>
      <c r="E99" s="226">
        <v>1</v>
      </c>
    </row>
    <row r="100" spans="3:6">
      <c r="D100" s="226">
        <v>3.87</v>
      </c>
      <c r="E100" s="226">
        <v>2.2999999999999998</v>
      </c>
    </row>
    <row r="101" spans="3:6">
      <c r="D101" s="226">
        <v>5.78</v>
      </c>
      <c r="E101" s="226">
        <v>5.47</v>
      </c>
    </row>
    <row r="102" spans="3:6">
      <c r="D102" s="226">
        <v>8</v>
      </c>
      <c r="E102" s="226">
        <v>6.92</v>
      </c>
    </row>
    <row r="103" spans="3:6">
      <c r="D103" s="226">
        <v>6.07</v>
      </c>
      <c r="E103" s="226">
        <v>6.92</v>
      </c>
    </row>
    <row r="104" spans="3:6">
      <c r="D104" s="226">
        <v>5</v>
      </c>
    </row>
    <row r="105" spans="3:6">
      <c r="D105" s="226">
        <f>SUM(D99:D104)</f>
        <v>31.52</v>
      </c>
      <c r="E105" s="226">
        <f>SUM(E99:E104)</f>
        <v>22.61</v>
      </c>
      <c r="F105" s="808">
        <f>E105+D105</f>
        <v>54.129999999999995</v>
      </c>
    </row>
    <row r="106" spans="3:6">
      <c r="C106" s="226" t="s">
        <v>738</v>
      </c>
    </row>
    <row r="107" spans="3:6">
      <c r="D107" s="226">
        <v>0.72</v>
      </c>
      <c r="E107" s="226">
        <v>0.66</v>
      </c>
    </row>
    <row r="108" spans="3:6">
      <c r="D108" s="226">
        <v>2.1800000000000002</v>
      </c>
      <c r="E108" s="226">
        <v>3.13</v>
      </c>
    </row>
    <row r="109" spans="3:6">
      <c r="D109" s="226">
        <v>3.92</v>
      </c>
      <c r="E109" s="226">
        <v>3.29</v>
      </c>
    </row>
    <row r="110" spans="3:6">
      <c r="D110" s="226">
        <v>3.07</v>
      </c>
      <c r="E110" s="226">
        <v>0.81</v>
      </c>
    </row>
    <row r="111" spans="3:6">
      <c r="D111" s="226">
        <v>0.55000000000000004</v>
      </c>
      <c r="E111" s="226">
        <v>1.83</v>
      </c>
    </row>
    <row r="112" spans="3:6">
      <c r="D112" s="226">
        <v>4.12</v>
      </c>
      <c r="E112" s="226">
        <v>2.1800000000000002</v>
      </c>
    </row>
    <row r="113" spans="2:6">
      <c r="D113" s="226">
        <v>3.77</v>
      </c>
      <c r="E113" s="226">
        <v>3.92</v>
      </c>
    </row>
    <row r="114" spans="2:6">
      <c r="D114" s="226">
        <v>0.85</v>
      </c>
    </row>
    <row r="115" spans="2:6">
      <c r="D115" s="226">
        <f>SUM(D107:D114)</f>
        <v>19.180000000000003</v>
      </c>
      <c r="E115" s="226">
        <f>SUM(E107:E114)</f>
        <v>15.82</v>
      </c>
      <c r="F115" s="226">
        <f>E115+D115</f>
        <v>35</v>
      </c>
    </row>
    <row r="117" spans="2:6">
      <c r="B117" s="226">
        <v>1</v>
      </c>
      <c r="C117" s="226" t="s">
        <v>737</v>
      </c>
      <c r="D117" s="226">
        <f>1.5+4.2</f>
        <v>5.7</v>
      </c>
    </row>
    <row r="118" spans="2:6">
      <c r="B118" s="226">
        <v>2</v>
      </c>
      <c r="C118" s="226" t="s">
        <v>736</v>
      </c>
      <c r="D118" s="226">
        <f>3+4.7</f>
        <v>7.7</v>
      </c>
      <c r="E118" s="226" t="s">
        <v>735</v>
      </c>
      <c r="F118" s="226">
        <v>0.6</v>
      </c>
    </row>
    <row r="119" spans="2:6">
      <c r="B119" s="226">
        <v>3</v>
      </c>
      <c r="C119" s="226" t="s">
        <v>734</v>
      </c>
      <c r="D119" s="226">
        <f>2.35*5</f>
        <v>11.75</v>
      </c>
      <c r="E119" s="226">
        <f>1.84*4</f>
        <v>7.36</v>
      </c>
      <c r="F119" s="226">
        <f>E119+D119</f>
        <v>19.11</v>
      </c>
    </row>
    <row r="120" spans="2:6">
      <c r="C120" s="226" t="s">
        <v>730</v>
      </c>
      <c r="D120" s="226">
        <f>0.31*12</f>
        <v>3.7199999999999998</v>
      </c>
    </row>
    <row r="121" spans="2:6">
      <c r="B121" s="226">
        <v>4</v>
      </c>
      <c r="C121" s="226" t="s">
        <v>733</v>
      </c>
      <c r="D121" s="226">
        <f>4.47*4</f>
        <v>17.88</v>
      </c>
      <c r="E121" s="226">
        <f>2.35*5</f>
        <v>11.75</v>
      </c>
      <c r="F121" s="226">
        <f>E121+D121</f>
        <v>29.63</v>
      </c>
    </row>
    <row r="122" spans="2:6">
      <c r="C122" s="226" t="s">
        <v>730</v>
      </c>
      <c r="D122" s="226">
        <f>0.81*12</f>
        <v>9.7200000000000006</v>
      </c>
    </row>
    <row r="123" spans="2:6">
      <c r="B123" s="226">
        <v>5</v>
      </c>
      <c r="C123" s="226" t="s">
        <v>732</v>
      </c>
      <c r="D123" s="226">
        <f>2.35*4</f>
        <v>9.4</v>
      </c>
      <c r="E123" s="226">
        <f>5.25*4</f>
        <v>21</v>
      </c>
      <c r="F123" s="226">
        <f>E123+D123</f>
        <v>30.4</v>
      </c>
    </row>
    <row r="124" spans="2:6">
      <c r="C124" s="226" t="s">
        <v>730</v>
      </c>
      <c r="D124" s="226">
        <f>1.28*9</f>
        <v>11.52</v>
      </c>
    </row>
    <row r="125" spans="2:6">
      <c r="B125" s="226">
        <v>6</v>
      </c>
      <c r="C125" s="226" t="s">
        <v>731</v>
      </c>
      <c r="D125" s="226">
        <f>2.35*4</f>
        <v>9.4</v>
      </c>
      <c r="E125" s="226">
        <f>4.47*4</f>
        <v>17.88</v>
      </c>
      <c r="F125" s="226">
        <f>E125+D125</f>
        <v>27.28</v>
      </c>
    </row>
    <row r="126" spans="2:6">
      <c r="C126" s="226" t="s">
        <v>730</v>
      </c>
      <c r="D126" s="226">
        <f>1.08*9</f>
        <v>9.7200000000000006</v>
      </c>
    </row>
    <row r="139" spans="3:8">
      <c r="C139" s="256" t="s">
        <v>729</v>
      </c>
      <c r="D139" s="256"/>
      <c r="E139" s="323">
        <f>(5*12)/12</f>
        <v>5</v>
      </c>
      <c r="F139" s="256">
        <v>4950000</v>
      </c>
      <c r="G139" s="324">
        <f>F139*E139</f>
        <v>24750000</v>
      </c>
      <c r="H139" s="256"/>
    </row>
    <row r="140" spans="3:8">
      <c r="C140" s="256"/>
      <c r="D140" s="256">
        <v>440</v>
      </c>
      <c r="E140" s="323">
        <f>E139</f>
        <v>5</v>
      </c>
      <c r="F140" s="256">
        <v>4000</v>
      </c>
      <c r="G140" s="324">
        <f>F140*E140*D140</f>
        <v>8800000</v>
      </c>
      <c r="H140" s="256"/>
    </row>
    <row r="141" spans="3:8">
      <c r="C141" s="256"/>
      <c r="D141" s="256"/>
      <c r="E141" s="323"/>
      <c r="F141" s="256"/>
      <c r="G141" s="324"/>
      <c r="H141" s="324">
        <f>SUM(G139:G140)</f>
        <v>33550000</v>
      </c>
    </row>
    <row r="142" spans="3:8">
      <c r="C142" s="256"/>
      <c r="D142" s="256"/>
      <c r="E142" s="323"/>
      <c r="F142" s="256"/>
      <c r="G142" s="324"/>
      <c r="H142" s="256"/>
    </row>
    <row r="143" spans="3:8">
      <c r="C143" s="256" t="s">
        <v>728</v>
      </c>
      <c r="D143" s="256"/>
      <c r="E143" s="323">
        <f>(32*6)/12</f>
        <v>16</v>
      </c>
      <c r="F143" s="256">
        <v>4950000</v>
      </c>
      <c r="G143" s="324">
        <f>F143*E143</f>
        <v>79200000</v>
      </c>
      <c r="H143" s="256"/>
    </row>
    <row r="144" spans="3:8">
      <c r="C144" s="256"/>
      <c r="D144" s="256">
        <v>440</v>
      </c>
      <c r="E144" s="323">
        <f>E143</f>
        <v>16</v>
      </c>
      <c r="F144" s="256">
        <v>4000</v>
      </c>
      <c r="G144" s="324">
        <f>F144*E144*D144</f>
        <v>28160000</v>
      </c>
      <c r="H144" s="256"/>
    </row>
    <row r="145" spans="3:8">
      <c r="C145" s="256"/>
      <c r="D145" s="256"/>
      <c r="E145" s="323"/>
      <c r="F145" s="256"/>
      <c r="G145" s="324"/>
      <c r="H145" s="324">
        <f>SUM(G143:G144)</f>
        <v>107360000</v>
      </c>
    </row>
    <row r="146" spans="3:8">
      <c r="C146" s="256"/>
      <c r="D146" s="256"/>
      <c r="E146" s="323"/>
      <c r="F146" s="256"/>
      <c r="G146" s="324"/>
      <c r="H146" s="256"/>
    </row>
    <row r="147" spans="3:8">
      <c r="C147" s="256" t="s">
        <v>258</v>
      </c>
      <c r="D147" s="256"/>
      <c r="E147" s="323">
        <f>165/12</f>
        <v>13.75</v>
      </c>
      <c r="F147" s="256">
        <v>4950000</v>
      </c>
      <c r="G147" s="324">
        <f>F147*E147</f>
        <v>68062500</v>
      </c>
      <c r="H147" s="256"/>
    </row>
    <row r="148" spans="3:8">
      <c r="C148" s="256"/>
      <c r="D148" s="256">
        <v>440</v>
      </c>
      <c r="E148" s="323">
        <f>E147</f>
        <v>13.75</v>
      </c>
      <c r="F148" s="256">
        <v>4000</v>
      </c>
      <c r="G148" s="324">
        <f>F148*E148*D148</f>
        <v>24200000</v>
      </c>
      <c r="H148" s="256"/>
    </row>
    <row r="149" spans="3:8">
      <c r="C149" s="256"/>
      <c r="D149" s="256"/>
      <c r="E149" s="323"/>
      <c r="F149" s="256"/>
      <c r="G149" s="324"/>
      <c r="H149" s="324">
        <f>SUM(G147:G148)</f>
        <v>92262500</v>
      </c>
    </row>
    <row r="150" spans="3:8">
      <c r="C150" s="256"/>
      <c r="D150" s="256"/>
      <c r="E150" s="323"/>
      <c r="F150" s="256"/>
      <c r="G150" s="324"/>
      <c r="H150" s="256"/>
    </row>
    <row r="151" spans="3:8">
      <c r="C151" s="256" t="s">
        <v>727</v>
      </c>
      <c r="D151" s="256"/>
      <c r="E151" s="323">
        <f>(55.5+180)/12</f>
        <v>19.625</v>
      </c>
      <c r="F151" s="256">
        <v>4950000</v>
      </c>
      <c r="G151" s="324">
        <f>F151*E151</f>
        <v>97143750</v>
      </c>
      <c r="H151" s="256"/>
    </row>
    <row r="152" spans="3:8">
      <c r="D152" s="226">
        <v>440</v>
      </c>
      <c r="E152" s="807">
        <f>E151</f>
        <v>19.625</v>
      </c>
      <c r="F152" s="256">
        <v>4000</v>
      </c>
      <c r="G152" s="324">
        <f>F152*E152*D152</f>
        <v>34540000</v>
      </c>
      <c r="H152" s="256"/>
    </row>
    <row r="153" spans="3:8">
      <c r="F153" s="256"/>
      <c r="G153" s="324"/>
      <c r="H153" s="324">
        <f>SUM(G151:G152)</f>
        <v>131683750</v>
      </c>
    </row>
    <row r="154" spans="3:8">
      <c r="C154" s="226" t="s">
        <v>726</v>
      </c>
      <c r="E154" s="226">
        <f>16/12*5</f>
        <v>6.6666666666666661</v>
      </c>
      <c r="F154" s="256">
        <v>4950000</v>
      </c>
      <c r="G154" s="324">
        <f>F154*E154</f>
        <v>32999999.999999996</v>
      </c>
      <c r="H154" s="256"/>
    </row>
    <row r="155" spans="3:8">
      <c r="D155" s="226">
        <v>440</v>
      </c>
      <c r="E155" s="226">
        <f>E154</f>
        <v>6.6666666666666661</v>
      </c>
      <c r="F155" s="256">
        <v>4000</v>
      </c>
      <c r="G155" s="324">
        <f>F155*E155*D155</f>
        <v>11733333.333333332</v>
      </c>
      <c r="H155" s="256"/>
    </row>
    <row r="156" spans="3:8">
      <c r="F156" s="256"/>
      <c r="G156" s="324"/>
      <c r="H156" s="324">
        <f>SUM(G154:G155)</f>
        <v>44733333.333333328</v>
      </c>
    </row>
    <row r="157" spans="3:8">
      <c r="C157" s="226" t="s">
        <v>725</v>
      </c>
      <c r="E157" s="226">
        <f>19/12*3</f>
        <v>4.75</v>
      </c>
      <c r="F157" s="256">
        <v>4950000</v>
      </c>
      <c r="G157" s="324">
        <f>F157*E157</f>
        <v>23512500</v>
      </c>
      <c r="H157" s="256"/>
    </row>
    <row r="158" spans="3:8">
      <c r="D158" s="226">
        <v>440</v>
      </c>
      <c r="E158" s="226">
        <f>E157</f>
        <v>4.75</v>
      </c>
      <c r="F158" s="256">
        <v>4000</v>
      </c>
      <c r="G158" s="324">
        <f>F158*E158*D158</f>
        <v>8360000</v>
      </c>
      <c r="H158" s="256"/>
    </row>
    <row r="159" spans="3:8">
      <c r="F159" s="256"/>
      <c r="G159" s="324"/>
      <c r="H159" s="324">
        <f>SUM(G157:G158)</f>
        <v>31872500</v>
      </c>
    </row>
    <row r="160" spans="3:8">
      <c r="C160" s="226" t="s">
        <v>724</v>
      </c>
      <c r="E160" s="226">
        <f>18/12*5</f>
        <v>7.5</v>
      </c>
      <c r="F160" s="256">
        <v>4950000</v>
      </c>
      <c r="G160" s="324">
        <f>F160*E160</f>
        <v>37125000</v>
      </c>
      <c r="H160" s="256"/>
    </row>
    <row r="161" spans="3:8">
      <c r="D161" s="226">
        <v>440</v>
      </c>
      <c r="E161" s="226">
        <f>E160</f>
        <v>7.5</v>
      </c>
      <c r="F161" s="256">
        <v>4000</v>
      </c>
      <c r="G161" s="324">
        <f>F161*E161*D161</f>
        <v>13200000</v>
      </c>
      <c r="H161" s="256"/>
    </row>
    <row r="162" spans="3:8">
      <c r="F162" s="256"/>
      <c r="G162" s="324"/>
      <c r="H162" s="324">
        <f>SUM(G160:G161)</f>
        <v>50325000</v>
      </c>
    </row>
    <row r="164" spans="3:8" ht="15.75">
      <c r="C164" s="325" t="s">
        <v>265</v>
      </c>
      <c r="D164" s="326"/>
      <c r="E164" s="246"/>
      <c r="F164" s="329"/>
      <c r="G164" s="328"/>
      <c r="H164" s="298"/>
    </row>
    <row r="165" spans="3:8">
      <c r="C165" s="256" t="s">
        <v>269</v>
      </c>
      <c r="D165" s="256"/>
      <c r="E165" s="323">
        <f>216/6</f>
        <v>36</v>
      </c>
      <c r="F165" s="324">
        <v>618000</v>
      </c>
      <c r="G165" s="324">
        <f>F165*E165</f>
        <v>22248000</v>
      </c>
      <c r="H165" s="256"/>
    </row>
    <row r="166" spans="3:8">
      <c r="C166" s="256"/>
      <c r="D166" s="256">
        <v>355</v>
      </c>
      <c r="E166" s="323">
        <f>E165</f>
        <v>36</v>
      </c>
      <c r="F166" s="324">
        <v>4000</v>
      </c>
      <c r="G166" s="324">
        <f>F166*E166*D166</f>
        <v>51120000</v>
      </c>
      <c r="H166" s="256"/>
    </row>
    <row r="167" spans="3:8">
      <c r="C167" s="256"/>
      <c r="D167" s="256"/>
      <c r="E167" s="323"/>
      <c r="F167" s="256"/>
      <c r="G167" s="324"/>
      <c r="H167" s="324">
        <f>SUM(G165:G166)</f>
        <v>73368000</v>
      </c>
    </row>
    <row r="169" spans="3:8" ht="18">
      <c r="C169" s="803" t="s">
        <v>723</v>
      </c>
      <c r="D169" s="258">
        <f>0.6*0.6*0.75</f>
        <v>0.27</v>
      </c>
      <c r="E169" s="259" t="s">
        <v>215</v>
      </c>
      <c r="F169" s="260"/>
      <c r="G169" s="261"/>
      <c r="H169" s="262"/>
    </row>
    <row r="170" spans="3:8" ht="15.75">
      <c r="C170" s="266" t="s">
        <v>219</v>
      </c>
      <c r="D170" s="267">
        <f>D169*6</f>
        <v>1.62</v>
      </c>
      <c r="E170" s="268" t="s">
        <v>220</v>
      </c>
      <c r="F170" s="269">
        <v>55000</v>
      </c>
      <c r="G170" s="269">
        <f>D170*F170</f>
        <v>89100</v>
      </c>
      <c r="H170" s="262"/>
    </row>
    <row r="171" spans="3:8" ht="18">
      <c r="C171" s="266" t="s">
        <v>222</v>
      </c>
      <c r="D171" s="267">
        <f>D169*0.52</f>
        <v>0.14040000000000002</v>
      </c>
      <c r="E171" s="268" t="s">
        <v>215</v>
      </c>
      <c r="F171" s="269">
        <v>380000</v>
      </c>
      <c r="G171" s="269">
        <f>D171*F171</f>
        <v>53352.000000000007</v>
      </c>
      <c r="H171" s="262"/>
    </row>
    <row r="172" spans="3:8" ht="18">
      <c r="C172" s="266" t="s">
        <v>224</v>
      </c>
      <c r="D172" s="267">
        <f>D169*0.82</f>
        <v>0.22140000000000001</v>
      </c>
      <c r="E172" s="268" t="s">
        <v>215</v>
      </c>
      <c r="F172" s="269">
        <v>310000</v>
      </c>
      <c r="G172" s="269">
        <f>D172*F172</f>
        <v>68634</v>
      </c>
      <c r="H172" s="262"/>
    </row>
    <row r="173" spans="3:8" ht="15.75">
      <c r="C173" s="266" t="s">
        <v>465</v>
      </c>
      <c r="D173" s="267">
        <f>2.5*6/12</f>
        <v>1.25</v>
      </c>
      <c r="E173" s="268" t="s">
        <v>20</v>
      </c>
      <c r="F173" s="276">
        <v>120000</v>
      </c>
      <c r="G173" s="269">
        <f>F173*D173</f>
        <v>150000</v>
      </c>
      <c r="H173" s="262"/>
    </row>
    <row r="174" spans="3:8" ht="15.75">
      <c r="C174" s="223" t="s">
        <v>466</v>
      </c>
      <c r="D174" s="267">
        <f>2.5*6/12</f>
        <v>1.25</v>
      </c>
      <c r="E174" s="513" t="s">
        <v>20</v>
      </c>
      <c r="F174" s="223">
        <v>175000</v>
      </c>
      <c r="G174" s="269">
        <f>F174*D174</f>
        <v>218750</v>
      </c>
      <c r="H174" s="262"/>
    </row>
    <row r="175" spans="3:8" ht="15.75">
      <c r="C175" s="266" t="s">
        <v>227</v>
      </c>
      <c r="D175" s="267">
        <f>D176/50</f>
        <v>0.78500000000000003</v>
      </c>
      <c r="E175" s="268" t="s">
        <v>17</v>
      </c>
      <c r="F175" s="269">
        <v>20000</v>
      </c>
      <c r="G175" s="269">
        <f>F175*D175</f>
        <v>15700</v>
      </c>
      <c r="H175" s="262"/>
    </row>
    <row r="176" spans="3:8" ht="15.75">
      <c r="C176" s="279" t="s">
        <v>228</v>
      </c>
      <c r="D176" s="280">
        <f>D173*12.5+D174*18.9</f>
        <v>39.25</v>
      </c>
      <c r="E176" s="281" t="s">
        <v>17</v>
      </c>
      <c r="F176" s="282">
        <v>3000</v>
      </c>
      <c r="G176" s="282">
        <f>D176*F176</f>
        <v>117750</v>
      </c>
      <c r="H176" s="262"/>
    </row>
    <row r="177" spans="3:8" ht="18">
      <c r="C177" s="514" t="s">
        <v>229</v>
      </c>
      <c r="D177" s="805">
        <f>D169</f>
        <v>0.27</v>
      </c>
      <c r="E177" s="516" t="s">
        <v>215</v>
      </c>
      <c r="F177" s="804">
        <v>300000</v>
      </c>
      <c r="G177" s="804">
        <f>D177*F177</f>
        <v>81000</v>
      </c>
      <c r="H177" s="284"/>
    </row>
    <row r="178" spans="3:8" ht="15.75">
      <c r="C178" s="308"/>
      <c r="D178" s="223"/>
      <c r="E178" s="312"/>
      <c r="F178" s="223"/>
      <c r="G178" s="223">
        <f>SUM(G170:G177)</f>
        <v>794286</v>
      </c>
      <c r="H178" s="270"/>
    </row>
    <row r="179" spans="3:8" ht="15.75">
      <c r="C179" s="308"/>
      <c r="D179" s="223"/>
      <c r="E179" s="312"/>
      <c r="F179" s="223"/>
      <c r="G179" s="235"/>
      <c r="H179" s="806"/>
    </row>
    <row r="180" spans="3:8" ht="18">
      <c r="C180" s="803" t="s">
        <v>722</v>
      </c>
      <c r="D180" s="258">
        <f>0.6*1.5*0.8</f>
        <v>0.72</v>
      </c>
      <c r="E180" s="259" t="s">
        <v>215</v>
      </c>
      <c r="F180" s="260"/>
      <c r="G180" s="261"/>
      <c r="H180" s="270"/>
    </row>
    <row r="181" spans="3:8" ht="15.75">
      <c r="C181" s="266" t="s">
        <v>219</v>
      </c>
      <c r="D181" s="267">
        <f>D180*6</f>
        <v>4.32</v>
      </c>
      <c r="E181" s="268" t="s">
        <v>220</v>
      </c>
      <c r="F181" s="269">
        <v>55000</v>
      </c>
      <c r="G181" s="269">
        <f>D181*F181</f>
        <v>237600.00000000003</v>
      </c>
      <c r="H181" s="315"/>
    </row>
    <row r="182" spans="3:8" ht="18">
      <c r="C182" s="266" t="s">
        <v>222</v>
      </c>
      <c r="D182" s="267">
        <f>D180*0.52</f>
        <v>0.37440000000000001</v>
      </c>
      <c r="E182" s="268" t="s">
        <v>215</v>
      </c>
      <c r="F182" s="269">
        <v>380000</v>
      </c>
      <c r="G182" s="269">
        <f>D182*F182</f>
        <v>142272</v>
      </c>
      <c r="H182" s="315"/>
    </row>
    <row r="183" spans="3:8" ht="18">
      <c r="C183" s="266" t="s">
        <v>224</v>
      </c>
      <c r="D183" s="267">
        <f>D180*0.82</f>
        <v>0.59039999999999992</v>
      </c>
      <c r="E183" s="268" t="s">
        <v>215</v>
      </c>
      <c r="F183" s="269">
        <v>310000</v>
      </c>
      <c r="G183" s="269">
        <f>D183*F183</f>
        <v>183023.99999999997</v>
      </c>
      <c r="H183" s="315"/>
    </row>
    <row r="184" spans="3:8" ht="15.75">
      <c r="C184" s="266" t="s">
        <v>465</v>
      </c>
      <c r="D184" s="267">
        <f>2.5*6/12</f>
        <v>1.25</v>
      </c>
      <c r="E184" s="268" t="s">
        <v>20</v>
      </c>
      <c r="F184" s="276">
        <v>120000</v>
      </c>
      <c r="G184" s="269">
        <f>F184*D184</f>
        <v>150000</v>
      </c>
      <c r="H184" s="315"/>
    </row>
    <row r="185" spans="3:8" ht="15.75">
      <c r="C185" s="223" t="s">
        <v>466</v>
      </c>
      <c r="D185" s="267">
        <v>2</v>
      </c>
      <c r="E185" s="513" t="s">
        <v>20</v>
      </c>
      <c r="F185" s="223">
        <v>175000</v>
      </c>
      <c r="G185" s="269">
        <f>F185*D185</f>
        <v>350000</v>
      </c>
      <c r="H185" s="315"/>
    </row>
    <row r="186" spans="3:8" ht="15.75">
      <c r="C186" s="266" t="s">
        <v>227</v>
      </c>
      <c r="D186" s="267">
        <f>D187/50</f>
        <v>1.0685</v>
      </c>
      <c r="E186" s="268" t="s">
        <v>17</v>
      </c>
      <c r="F186" s="269">
        <v>20000</v>
      </c>
      <c r="G186" s="269">
        <f>F186*D186</f>
        <v>21370</v>
      </c>
      <c r="H186" s="315"/>
    </row>
    <row r="187" spans="3:8" ht="15.75">
      <c r="C187" s="279" t="s">
        <v>228</v>
      </c>
      <c r="D187" s="280">
        <f>D184*12.5+D185*18.9</f>
        <v>53.424999999999997</v>
      </c>
      <c r="E187" s="281" t="s">
        <v>17</v>
      </c>
      <c r="F187" s="282">
        <v>3000</v>
      </c>
      <c r="G187" s="282">
        <f>D187*F187</f>
        <v>160275</v>
      </c>
      <c r="H187" s="315"/>
    </row>
    <row r="188" spans="3:8" ht="18">
      <c r="C188" s="514" t="s">
        <v>229</v>
      </c>
      <c r="D188" s="805">
        <f>D180</f>
        <v>0.72</v>
      </c>
      <c r="E188" s="516" t="s">
        <v>215</v>
      </c>
      <c r="F188" s="804">
        <v>300000</v>
      </c>
      <c r="G188" s="804">
        <f>D188*F188</f>
        <v>216000</v>
      </c>
      <c r="H188" s="315"/>
    </row>
    <row r="189" spans="3:8" ht="15.75">
      <c r="C189" s="308"/>
      <c r="D189" s="223"/>
      <c r="E189" s="312"/>
      <c r="F189" s="223"/>
      <c r="G189" s="223">
        <f>SUM(G181:G188)</f>
        <v>1460541</v>
      </c>
      <c r="H189" s="317"/>
    </row>
    <row r="190" spans="3:8" ht="15.75">
      <c r="C190" s="308"/>
      <c r="D190" s="223"/>
      <c r="E190" s="312"/>
      <c r="F190" s="223"/>
      <c r="G190" s="235"/>
      <c r="H190" s="315"/>
    </row>
    <row r="191" spans="3:8" ht="18">
      <c r="C191" s="803" t="s">
        <v>469</v>
      </c>
      <c r="D191" s="258">
        <f>1.88*0.8</f>
        <v>1.504</v>
      </c>
      <c r="E191" s="259" t="s">
        <v>215</v>
      </c>
      <c r="F191" s="260"/>
      <c r="G191" s="261"/>
      <c r="H191" s="315"/>
    </row>
    <row r="192" spans="3:8" ht="15.75">
      <c r="C192" s="266" t="s">
        <v>219</v>
      </c>
      <c r="D192" s="267">
        <f>D191*6</f>
        <v>9.0240000000000009</v>
      </c>
      <c r="E192" s="268" t="s">
        <v>220</v>
      </c>
      <c r="F192" s="269">
        <v>55000</v>
      </c>
      <c r="G192" s="269">
        <f>D192*F192</f>
        <v>496320.00000000006</v>
      </c>
      <c r="H192" s="315"/>
    </row>
    <row r="193" spans="3:8" ht="18">
      <c r="C193" s="266" t="s">
        <v>222</v>
      </c>
      <c r="D193" s="267">
        <f>D191*0.52</f>
        <v>0.78208</v>
      </c>
      <c r="E193" s="268" t="s">
        <v>215</v>
      </c>
      <c r="F193" s="269">
        <v>380000</v>
      </c>
      <c r="G193" s="269">
        <f>D193*F193</f>
        <v>297190.40000000002</v>
      </c>
      <c r="H193" s="320"/>
    </row>
    <row r="194" spans="3:8" ht="18">
      <c r="C194" s="266" t="s">
        <v>224</v>
      </c>
      <c r="D194" s="267">
        <f>D191*0.82</f>
        <v>1.2332799999999999</v>
      </c>
      <c r="E194" s="268" t="s">
        <v>215</v>
      </c>
      <c r="F194" s="269">
        <v>310000</v>
      </c>
      <c r="G194" s="269">
        <f>D194*F194</f>
        <v>382316.79999999999</v>
      </c>
      <c r="H194" s="320"/>
    </row>
    <row r="195" spans="3:8" ht="15.75">
      <c r="C195" s="266" t="s">
        <v>465</v>
      </c>
      <c r="D195" s="267">
        <f>2.5*6/12</f>
        <v>1.25</v>
      </c>
      <c r="E195" s="268" t="s">
        <v>20</v>
      </c>
      <c r="F195" s="276">
        <v>120000</v>
      </c>
      <c r="G195" s="269">
        <f>F195*D195</f>
        <v>150000</v>
      </c>
      <c r="H195" s="320"/>
    </row>
    <row r="196" spans="3:8" ht="15.75">
      <c r="C196" s="223" t="s">
        <v>466</v>
      </c>
      <c r="D196" s="267">
        <f>2.5*6/12</f>
        <v>1.25</v>
      </c>
      <c r="E196" s="513" t="s">
        <v>20</v>
      </c>
      <c r="F196" s="223">
        <v>175000</v>
      </c>
      <c r="G196" s="269">
        <f>F196*D196</f>
        <v>218750</v>
      </c>
      <c r="H196" s="320" t="s">
        <v>254</v>
      </c>
    </row>
    <row r="197" spans="3:8" ht="15.75">
      <c r="C197" s="266" t="s">
        <v>227</v>
      </c>
      <c r="D197" s="267">
        <f>D198/50</f>
        <v>0.78500000000000003</v>
      </c>
      <c r="E197" s="268" t="s">
        <v>17</v>
      </c>
      <c r="F197" s="269">
        <v>20000</v>
      </c>
      <c r="G197" s="269">
        <f>F197*D197</f>
        <v>15700</v>
      </c>
      <c r="H197" s="320"/>
    </row>
    <row r="198" spans="3:8" ht="15.75">
      <c r="C198" s="279" t="s">
        <v>228</v>
      </c>
      <c r="D198" s="280">
        <f>D195*12.5+D196*18.9</f>
        <v>39.25</v>
      </c>
      <c r="E198" s="281" t="s">
        <v>17</v>
      </c>
      <c r="F198" s="282">
        <v>3000</v>
      </c>
      <c r="G198" s="282">
        <f>D198*F198</f>
        <v>117750</v>
      </c>
      <c r="H198" s="320"/>
    </row>
    <row r="199" spans="3:8" ht="18">
      <c r="C199" s="514" t="s">
        <v>229</v>
      </c>
      <c r="D199" s="805">
        <f>D191</f>
        <v>1.504</v>
      </c>
      <c r="E199" s="516" t="s">
        <v>215</v>
      </c>
      <c r="F199" s="804">
        <v>300000</v>
      </c>
      <c r="G199" s="804">
        <f>D199*F199</f>
        <v>451200</v>
      </c>
      <c r="H199" s="320"/>
    </row>
    <row r="200" spans="3:8" ht="15.75">
      <c r="C200" s="308"/>
      <c r="D200" s="223"/>
      <c r="E200" s="312"/>
      <c r="F200" s="223"/>
      <c r="G200" s="223">
        <f>SUM(G192:G199)</f>
        <v>2129227.2000000002</v>
      </c>
      <c r="H200" s="320"/>
    </row>
    <row r="201" spans="3:8">
      <c r="C201" s="321"/>
      <c r="D201" s="223"/>
      <c r="E201" s="223"/>
      <c r="F201" s="223"/>
      <c r="G201" s="223"/>
      <c r="H201" s="320"/>
    </row>
    <row r="202" spans="3:8" ht="18">
      <c r="C202" s="803" t="s">
        <v>721</v>
      </c>
      <c r="D202" s="258">
        <f>1.5*1.5*0.75</f>
        <v>1.6875</v>
      </c>
      <c r="E202" s="259" t="s">
        <v>215</v>
      </c>
      <c r="F202" s="260"/>
      <c r="G202" s="261"/>
      <c r="H202" s="320"/>
    </row>
    <row r="203" spans="3:8" ht="15.75">
      <c r="C203" s="266" t="s">
        <v>219</v>
      </c>
      <c r="D203" s="267">
        <f>D202*6</f>
        <v>10.125</v>
      </c>
      <c r="E203" s="268" t="s">
        <v>220</v>
      </c>
      <c r="F203" s="269">
        <v>55000</v>
      </c>
      <c r="G203" s="269">
        <f>D203*F203</f>
        <v>556875</v>
      </c>
      <c r="H203" s="320"/>
    </row>
    <row r="204" spans="3:8" ht="18">
      <c r="C204" s="266" t="s">
        <v>222</v>
      </c>
      <c r="D204" s="267">
        <f>D202*0.52</f>
        <v>0.87750000000000006</v>
      </c>
      <c r="E204" s="268" t="s">
        <v>215</v>
      </c>
      <c r="F204" s="269">
        <v>380000</v>
      </c>
      <c r="G204" s="269">
        <f>D204*F204</f>
        <v>333450</v>
      </c>
      <c r="H204" s="320"/>
    </row>
    <row r="205" spans="3:8" ht="18">
      <c r="C205" s="266" t="s">
        <v>224</v>
      </c>
      <c r="D205" s="267">
        <f>D202*0.82</f>
        <v>1.3837499999999998</v>
      </c>
      <c r="E205" s="268" t="s">
        <v>215</v>
      </c>
      <c r="F205" s="269">
        <v>310000</v>
      </c>
      <c r="G205" s="269">
        <f>D205*F205</f>
        <v>428962.49999999994</v>
      </c>
      <c r="H205" s="320"/>
    </row>
    <row r="206" spans="3:8" ht="15.75">
      <c r="C206" s="266" t="s">
        <v>465</v>
      </c>
      <c r="D206" s="267">
        <v>5</v>
      </c>
      <c r="E206" s="268" t="s">
        <v>20</v>
      </c>
      <c r="F206" s="276">
        <v>120000</v>
      </c>
      <c r="G206" s="269">
        <f>F206*D206</f>
        <v>600000</v>
      </c>
      <c r="H206" s="320"/>
    </row>
    <row r="207" spans="3:8" ht="15.75">
      <c r="C207" s="223" t="s">
        <v>466</v>
      </c>
      <c r="D207" s="267">
        <v>5</v>
      </c>
      <c r="E207" s="513" t="s">
        <v>20</v>
      </c>
      <c r="F207" s="223">
        <v>175000</v>
      </c>
      <c r="G207" s="269">
        <f>F207*D207</f>
        <v>875000</v>
      </c>
      <c r="H207" s="320"/>
    </row>
    <row r="208" spans="3:8" ht="15.75">
      <c r="C208" s="266" t="s">
        <v>227</v>
      </c>
      <c r="D208" s="267">
        <f>D209/50</f>
        <v>3.14</v>
      </c>
      <c r="E208" s="268" t="s">
        <v>17</v>
      </c>
      <c r="F208" s="269">
        <v>20000</v>
      </c>
      <c r="G208" s="269">
        <f>F208*D208</f>
        <v>62800</v>
      </c>
      <c r="H208" s="320"/>
    </row>
    <row r="209" spans="3:8" ht="15.75">
      <c r="C209" s="279" t="s">
        <v>228</v>
      </c>
      <c r="D209" s="280">
        <f>D206*12.5+D207*18.9</f>
        <v>157</v>
      </c>
      <c r="E209" s="281" t="s">
        <v>17</v>
      </c>
      <c r="F209" s="282">
        <v>3000</v>
      </c>
      <c r="G209" s="282">
        <f>D209*F209</f>
        <v>471000</v>
      </c>
      <c r="H209" s="235"/>
    </row>
    <row r="210" spans="3:8" ht="18">
      <c r="C210" s="514" t="s">
        <v>229</v>
      </c>
      <c r="D210" s="805">
        <f>D202</f>
        <v>1.6875</v>
      </c>
      <c r="E210" s="516" t="s">
        <v>215</v>
      </c>
      <c r="F210" s="804">
        <v>300000</v>
      </c>
      <c r="G210" s="804">
        <f>D210*F210</f>
        <v>506250</v>
      </c>
      <c r="H210" s="235"/>
    </row>
    <row r="211" spans="3:8" ht="15.75">
      <c r="C211" s="308"/>
      <c r="D211" s="223"/>
      <c r="E211" s="312"/>
      <c r="F211" s="223"/>
      <c r="G211" s="223">
        <f>SUM(G203:G210)</f>
        <v>3834337.5</v>
      </c>
      <c r="H211" s="320"/>
    </row>
    <row r="212" spans="3:8" ht="18">
      <c r="C212" s="803" t="s">
        <v>720</v>
      </c>
      <c r="D212" s="258">
        <f>0.4*0.4*1</f>
        <v>0.16000000000000003</v>
      </c>
      <c r="E212" s="259" t="s">
        <v>215</v>
      </c>
      <c r="F212" s="260"/>
      <c r="G212" s="261"/>
      <c r="H212" s="284"/>
    </row>
    <row r="213" spans="3:8" ht="15.75">
      <c r="C213" s="266" t="s">
        <v>234</v>
      </c>
      <c r="D213" s="267"/>
      <c r="E213" s="268"/>
      <c r="F213" s="269"/>
      <c r="G213" s="269"/>
      <c r="H213" s="284"/>
    </row>
    <row r="214" spans="3:8" ht="15.75">
      <c r="C214" s="266" t="s">
        <v>219</v>
      </c>
      <c r="D214" s="267">
        <f>D212*6</f>
        <v>0.96000000000000019</v>
      </c>
      <c r="E214" s="268" t="s">
        <v>220</v>
      </c>
      <c r="F214" s="269">
        <v>55000</v>
      </c>
      <c r="G214" s="269">
        <f t="shared" ref="G214:G225" si="0">F214*D214</f>
        <v>52800.000000000007</v>
      </c>
      <c r="H214" s="284"/>
    </row>
    <row r="215" spans="3:8" ht="18">
      <c r="C215" s="266" t="s">
        <v>222</v>
      </c>
      <c r="D215" s="267">
        <f>D212*0.54</f>
        <v>8.6400000000000018E-2</v>
      </c>
      <c r="E215" s="268" t="s">
        <v>215</v>
      </c>
      <c r="F215" s="269">
        <v>380000</v>
      </c>
      <c r="G215" s="269">
        <f t="shared" si="0"/>
        <v>32832.000000000007</v>
      </c>
      <c r="H215" s="284"/>
    </row>
    <row r="216" spans="3:8" ht="18">
      <c r="C216" s="266" t="s">
        <v>224</v>
      </c>
      <c r="D216" s="267">
        <f>D212*0.82</f>
        <v>0.13120000000000001</v>
      </c>
      <c r="E216" s="268" t="s">
        <v>215</v>
      </c>
      <c r="F216" s="269">
        <v>310000</v>
      </c>
      <c r="G216" s="269">
        <f t="shared" si="0"/>
        <v>40672</v>
      </c>
      <c r="H216" s="284"/>
    </row>
    <row r="217" spans="3:8" ht="15.75">
      <c r="C217" s="266" t="s">
        <v>315</v>
      </c>
      <c r="D217" s="267">
        <v>1</v>
      </c>
      <c r="E217" s="268" t="s">
        <v>20</v>
      </c>
      <c r="F217" s="269">
        <v>172000</v>
      </c>
      <c r="G217" s="269">
        <f t="shared" si="0"/>
        <v>172000</v>
      </c>
      <c r="H217" s="284"/>
    </row>
    <row r="218" spans="3:8" ht="15.75">
      <c r="C218" s="266" t="s">
        <v>316</v>
      </c>
      <c r="D218" s="267">
        <v>1.25</v>
      </c>
      <c r="E218" s="268" t="s">
        <v>20</v>
      </c>
      <c r="F218" s="269">
        <v>67000</v>
      </c>
      <c r="G218" s="269">
        <f t="shared" si="0"/>
        <v>83750</v>
      </c>
      <c r="H218" s="284"/>
    </row>
    <row r="219" spans="3:8" ht="15.75">
      <c r="C219" s="266" t="s">
        <v>240</v>
      </c>
      <c r="D219" s="267">
        <v>0.6</v>
      </c>
      <c r="E219" s="268" t="s">
        <v>241</v>
      </c>
      <c r="F219" s="269">
        <v>100000</v>
      </c>
      <c r="G219" s="269">
        <f t="shared" si="0"/>
        <v>60000</v>
      </c>
      <c r="H219" s="284"/>
    </row>
    <row r="220" spans="3:8" ht="15.75">
      <c r="C220" s="266" t="s">
        <v>242</v>
      </c>
      <c r="D220" s="267">
        <f>D212*2.5</f>
        <v>0.40000000000000008</v>
      </c>
      <c r="E220" s="268" t="s">
        <v>17</v>
      </c>
      <c r="F220" s="269">
        <v>20000</v>
      </c>
      <c r="G220" s="269">
        <f t="shared" si="0"/>
        <v>8000.0000000000018</v>
      </c>
      <c r="H220" s="284"/>
    </row>
    <row r="221" spans="3:8" ht="15.75">
      <c r="C221" s="266" t="s">
        <v>243</v>
      </c>
      <c r="D221" s="267">
        <v>0.04</v>
      </c>
      <c r="E221" s="268" t="s">
        <v>15</v>
      </c>
      <c r="F221" s="269">
        <v>2500000</v>
      </c>
      <c r="G221" s="269">
        <f t="shared" si="0"/>
        <v>100000</v>
      </c>
      <c r="H221" s="284"/>
    </row>
    <row r="222" spans="3:8" ht="15.75">
      <c r="C222" s="266" t="s">
        <v>244</v>
      </c>
      <c r="D222" s="267">
        <f>D212*2</f>
        <v>0.32000000000000006</v>
      </c>
      <c r="E222" s="268" t="s">
        <v>17</v>
      </c>
      <c r="F222" s="269">
        <v>20000</v>
      </c>
      <c r="G222" s="269">
        <f t="shared" si="0"/>
        <v>6400.0000000000009</v>
      </c>
      <c r="H222" s="284"/>
    </row>
    <row r="223" spans="3:8" ht="15.75">
      <c r="C223" s="266" t="s">
        <v>245</v>
      </c>
      <c r="D223" s="280">
        <f>0.3*0.12*3</f>
        <v>0.10799999999999998</v>
      </c>
      <c r="E223" s="281" t="s">
        <v>14</v>
      </c>
      <c r="F223" s="282">
        <v>20000</v>
      </c>
      <c r="G223" s="282">
        <f t="shared" si="0"/>
        <v>2159.9999999999995</v>
      </c>
      <c r="H223" s="284"/>
    </row>
    <row r="224" spans="3:8" ht="15.75">
      <c r="C224" s="266" t="s">
        <v>228</v>
      </c>
      <c r="D224" s="280">
        <f>(19*D217)+(7.4*D218)</f>
        <v>28.25</v>
      </c>
      <c r="E224" s="281" t="s">
        <v>17</v>
      </c>
      <c r="F224" s="292">
        <v>3000</v>
      </c>
      <c r="G224" s="282">
        <f t="shared" si="0"/>
        <v>84750</v>
      </c>
      <c r="H224" s="284"/>
    </row>
    <row r="225" spans="3:8" ht="18">
      <c r="C225" s="279" t="s">
        <v>229</v>
      </c>
      <c r="D225" s="280">
        <f>D212*1</f>
        <v>0.16000000000000003</v>
      </c>
      <c r="E225" s="281" t="s">
        <v>215</v>
      </c>
      <c r="F225" s="292">
        <v>300000</v>
      </c>
      <c r="G225" s="282">
        <f t="shared" si="0"/>
        <v>48000.000000000007</v>
      </c>
      <c r="H225" s="284"/>
    </row>
    <row r="226" spans="3:8" ht="15.75">
      <c r="C226" s="1146" t="s">
        <v>246</v>
      </c>
      <c r="D226" s="1147"/>
      <c r="E226" s="1147"/>
      <c r="F226" s="1147"/>
      <c r="G226" s="294">
        <f>SUM(G214:G225)</f>
        <v>691364</v>
      </c>
      <c r="H226" s="284">
        <f>G226/D212</f>
        <v>4321024.9999999991</v>
      </c>
    </row>
    <row r="227" spans="3:8" ht="15.75">
      <c r="C227" s="223"/>
      <c r="D227" s="223"/>
      <c r="E227" s="230"/>
      <c r="F227" s="230"/>
      <c r="G227" s="230"/>
      <c r="H227" s="331"/>
    </row>
    <row r="228" spans="3:8" ht="18">
      <c r="C228" s="803" t="s">
        <v>719</v>
      </c>
      <c r="D228" s="258">
        <f>0.45*0.45*1</f>
        <v>0.20250000000000001</v>
      </c>
      <c r="E228" s="259" t="s">
        <v>215</v>
      </c>
      <c r="F228" s="260"/>
      <c r="G228" s="261"/>
      <c r="H228" s="284"/>
    </row>
    <row r="229" spans="3:8" ht="15.75">
      <c r="C229" s="266" t="s">
        <v>234</v>
      </c>
      <c r="D229" s="267"/>
      <c r="E229" s="268"/>
      <c r="F229" s="269"/>
      <c r="G229" s="269"/>
      <c r="H229" s="284"/>
    </row>
    <row r="230" spans="3:8" ht="15.75">
      <c r="C230" s="266" t="s">
        <v>219</v>
      </c>
      <c r="D230" s="267">
        <f>D228*6</f>
        <v>1.2150000000000001</v>
      </c>
      <c r="E230" s="268" t="s">
        <v>220</v>
      </c>
      <c r="F230" s="269">
        <v>55000</v>
      </c>
      <c r="G230" s="269">
        <f t="shared" ref="G230:G241" si="1">F230*D230</f>
        <v>66825</v>
      </c>
      <c r="H230" s="284"/>
    </row>
    <row r="231" spans="3:8" ht="18">
      <c r="C231" s="266" t="s">
        <v>222</v>
      </c>
      <c r="D231" s="267">
        <f>D228*0.54</f>
        <v>0.10935000000000002</v>
      </c>
      <c r="E231" s="268" t="s">
        <v>215</v>
      </c>
      <c r="F231" s="269">
        <v>380000</v>
      </c>
      <c r="G231" s="269">
        <f t="shared" si="1"/>
        <v>41553.000000000007</v>
      </c>
      <c r="H231" s="284"/>
    </row>
    <row r="232" spans="3:8" ht="18">
      <c r="C232" s="266" t="s">
        <v>224</v>
      </c>
      <c r="D232" s="267">
        <f>D228*0.82</f>
        <v>0.16605</v>
      </c>
      <c r="E232" s="268" t="s">
        <v>215</v>
      </c>
      <c r="F232" s="269">
        <v>310000</v>
      </c>
      <c r="G232" s="269">
        <f t="shared" si="1"/>
        <v>51475.5</v>
      </c>
      <c r="H232" s="284"/>
    </row>
    <row r="233" spans="3:8" ht="15.75">
      <c r="C233" s="266" t="s">
        <v>315</v>
      </c>
      <c r="D233" s="267">
        <f>16/12</f>
        <v>1.3333333333333333</v>
      </c>
      <c r="E233" s="268" t="s">
        <v>20</v>
      </c>
      <c r="F233" s="269">
        <v>296800</v>
      </c>
      <c r="G233" s="269">
        <f t="shared" si="1"/>
        <v>395733.33333333331</v>
      </c>
      <c r="H233" s="284"/>
    </row>
    <row r="234" spans="3:8" ht="15.75">
      <c r="C234" s="266" t="s">
        <v>316</v>
      </c>
      <c r="D234" s="267">
        <v>1.25</v>
      </c>
      <c r="E234" s="268" t="s">
        <v>20</v>
      </c>
      <c r="F234" s="269">
        <v>67000</v>
      </c>
      <c r="G234" s="269">
        <f t="shared" si="1"/>
        <v>83750</v>
      </c>
      <c r="H234" s="284"/>
    </row>
    <row r="235" spans="3:8" ht="15.75">
      <c r="C235" s="266" t="s">
        <v>240</v>
      </c>
      <c r="D235" s="267">
        <f>0.9/2.88</f>
        <v>0.3125</v>
      </c>
      <c r="E235" s="268" t="s">
        <v>241</v>
      </c>
      <c r="F235" s="269">
        <v>100000</v>
      </c>
      <c r="G235" s="269">
        <f t="shared" si="1"/>
        <v>31250</v>
      </c>
      <c r="H235" s="284"/>
    </row>
    <row r="236" spans="3:8" ht="15.75">
      <c r="C236" s="266" t="s">
        <v>242</v>
      </c>
      <c r="D236" s="267">
        <f>D228*2.5</f>
        <v>0.50625000000000009</v>
      </c>
      <c r="E236" s="268" t="s">
        <v>17</v>
      </c>
      <c r="F236" s="269">
        <v>20000</v>
      </c>
      <c r="G236" s="269">
        <f t="shared" si="1"/>
        <v>10125.000000000002</v>
      </c>
      <c r="H236" s="284"/>
    </row>
    <row r="237" spans="3:8" ht="15.75">
      <c r="C237" s="266" t="s">
        <v>243</v>
      </c>
      <c r="D237" s="267">
        <v>0.04</v>
      </c>
      <c r="E237" s="268" t="s">
        <v>15</v>
      </c>
      <c r="F237" s="269">
        <v>2500000</v>
      </c>
      <c r="G237" s="269">
        <f t="shared" si="1"/>
        <v>100000</v>
      </c>
      <c r="H237" s="284"/>
    </row>
    <row r="238" spans="3:8" ht="15.75">
      <c r="C238" s="266" t="s">
        <v>244</v>
      </c>
      <c r="D238" s="267">
        <f>D228*2</f>
        <v>0.40500000000000003</v>
      </c>
      <c r="E238" s="268" t="s">
        <v>17</v>
      </c>
      <c r="F238" s="269">
        <v>20000</v>
      </c>
      <c r="G238" s="269">
        <f t="shared" si="1"/>
        <v>8100.0000000000009</v>
      </c>
      <c r="H238" s="284"/>
    </row>
    <row r="239" spans="3:8" ht="15.75">
      <c r="C239" s="266" t="s">
        <v>245</v>
      </c>
      <c r="D239" s="280">
        <f>0.3*0.12*3</f>
        <v>0.10799999999999998</v>
      </c>
      <c r="E239" s="281" t="s">
        <v>14</v>
      </c>
      <c r="F239" s="282">
        <v>20000</v>
      </c>
      <c r="G239" s="282">
        <f t="shared" si="1"/>
        <v>2159.9999999999995</v>
      </c>
      <c r="H239" s="284"/>
    </row>
    <row r="240" spans="3:8" ht="15.75">
      <c r="C240" s="266" t="s">
        <v>228</v>
      </c>
      <c r="D240" s="280">
        <f>(19*D233)+(7.4*D234)</f>
        <v>34.583333333333329</v>
      </c>
      <c r="E240" s="281" t="s">
        <v>17</v>
      </c>
      <c r="F240" s="292">
        <v>3000</v>
      </c>
      <c r="G240" s="282">
        <f t="shared" si="1"/>
        <v>103749.99999999999</v>
      </c>
      <c r="H240" s="284"/>
    </row>
    <row r="241" spans="3:8" ht="18">
      <c r="C241" s="279" t="s">
        <v>229</v>
      </c>
      <c r="D241" s="280">
        <f>D228*1</f>
        <v>0.20250000000000001</v>
      </c>
      <c r="E241" s="281" t="s">
        <v>215</v>
      </c>
      <c r="F241" s="292">
        <v>300000</v>
      </c>
      <c r="G241" s="282">
        <f t="shared" si="1"/>
        <v>60750.000000000007</v>
      </c>
      <c r="H241" s="284"/>
    </row>
    <row r="242" spans="3:8" ht="15.75">
      <c r="C242" s="1146" t="s">
        <v>246</v>
      </c>
      <c r="D242" s="1147"/>
      <c r="E242" s="1147"/>
      <c r="F242" s="1147"/>
      <c r="G242" s="294">
        <f>SUM(G230:G241)</f>
        <v>955471.83333333326</v>
      </c>
      <c r="H242" s="284">
        <f>G242/D228</f>
        <v>4718379.4238683125</v>
      </c>
    </row>
  </sheetData>
  <mergeCells count="3">
    <mergeCell ref="C59:F59"/>
    <mergeCell ref="C226:F226"/>
    <mergeCell ref="C242:F242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FB0CB5-D831-4AB1-894D-AD6263157EC8}">
  <dimension ref="A2:I42"/>
  <sheetViews>
    <sheetView topLeftCell="A19" workbookViewId="0"/>
  </sheetViews>
  <sheetFormatPr defaultColWidth="8.85546875" defaultRowHeight="15"/>
  <cols>
    <col min="1" max="1" width="10.7109375" style="226" customWidth="1"/>
    <col min="2" max="3" width="21.42578125" style="226" customWidth="1"/>
    <col min="4" max="4" width="8.85546875" style="226"/>
    <col min="5" max="5" width="11.5703125" style="226" customWidth="1"/>
    <col min="6" max="6" width="9.85546875" style="226" customWidth="1"/>
    <col min="7" max="7" width="12.42578125" style="226" customWidth="1"/>
    <col min="8" max="16384" width="8.85546875" style="226"/>
  </cols>
  <sheetData>
    <row r="2" spans="1:7">
      <c r="A2" s="226" t="s">
        <v>801</v>
      </c>
    </row>
    <row r="3" spans="1:7">
      <c r="B3" s="812"/>
    </row>
    <row r="4" spans="1:7">
      <c r="B4" s="812" t="s">
        <v>770</v>
      </c>
      <c r="C4" s="813">
        <v>7.5</v>
      </c>
      <c r="D4" s="378"/>
      <c r="E4" s="378"/>
      <c r="G4" s="378"/>
    </row>
    <row r="5" spans="1:7">
      <c r="B5" s="812"/>
      <c r="C5" s="226">
        <v>2.7</v>
      </c>
      <c r="E5" s="226">
        <v>25</v>
      </c>
    </row>
    <row r="6" spans="1:7">
      <c r="C6" s="226">
        <v>2.8</v>
      </c>
      <c r="E6" s="226">
        <v>25</v>
      </c>
    </row>
    <row r="7" spans="1:7">
      <c r="C7" s="226">
        <v>25</v>
      </c>
      <c r="D7" s="226">
        <v>3.45</v>
      </c>
      <c r="E7" s="226">
        <v>25</v>
      </c>
    </row>
    <row r="8" spans="1:7">
      <c r="C8" s="226">
        <v>25</v>
      </c>
      <c r="D8" s="226">
        <v>3.45</v>
      </c>
      <c r="E8" s="226">
        <v>25</v>
      </c>
      <c r="G8" s="378"/>
    </row>
    <row r="9" spans="1:7">
      <c r="C9" s="226">
        <f>SUM(C4:C8)</f>
        <v>63</v>
      </c>
      <c r="D9" s="226">
        <f>SUM(D7:D8)</f>
        <v>6.9</v>
      </c>
      <c r="E9" s="226">
        <f>SUM(E5:E8)</f>
        <v>100</v>
      </c>
      <c r="F9" s="226">
        <f>SUM(C9:E9)</f>
        <v>169.9</v>
      </c>
      <c r="G9" s="378"/>
    </row>
    <row r="11" spans="1:7">
      <c r="B11" s="812" t="s">
        <v>769</v>
      </c>
      <c r="C11" s="226">
        <v>4.6500000000000004</v>
      </c>
    </row>
    <row r="12" spans="1:7">
      <c r="C12" s="226">
        <v>3.3</v>
      </c>
    </row>
    <row r="13" spans="1:7">
      <c r="C13" s="226">
        <v>4.6500000000000004</v>
      </c>
    </row>
    <row r="14" spans="1:7">
      <c r="C14" s="226">
        <v>3.3</v>
      </c>
    </row>
    <row r="15" spans="1:7">
      <c r="F15" s="226">
        <f>SUM(C11:C14)</f>
        <v>15.900000000000002</v>
      </c>
    </row>
    <row r="17" spans="1:9">
      <c r="B17" s="226" t="s">
        <v>225</v>
      </c>
      <c r="E17" s="378">
        <v>0.7</v>
      </c>
      <c r="F17" s="378">
        <v>0.7</v>
      </c>
      <c r="G17" s="378">
        <f>SUM(F9:F15)</f>
        <v>185.8</v>
      </c>
      <c r="H17" s="378">
        <f>G17*F17*E17</f>
        <v>91.042000000000002</v>
      </c>
      <c r="I17" s="378"/>
    </row>
    <row r="18" spans="1:9">
      <c r="B18" s="226" t="s">
        <v>800</v>
      </c>
      <c r="E18" s="378">
        <v>0.4</v>
      </c>
      <c r="F18" s="378">
        <v>0.7</v>
      </c>
      <c r="G18" s="378">
        <f>G17</f>
        <v>185.8</v>
      </c>
      <c r="H18" s="378">
        <f>G18*F18*E18</f>
        <v>52.024000000000001</v>
      </c>
      <c r="I18" s="378"/>
    </row>
    <row r="19" spans="1:9">
      <c r="B19" s="256" t="s">
        <v>784</v>
      </c>
      <c r="E19" s="378">
        <v>0.15</v>
      </c>
      <c r="F19" s="378">
        <v>0.2</v>
      </c>
      <c r="G19" s="378">
        <f>G18</f>
        <v>185.8</v>
      </c>
      <c r="H19" s="378">
        <f>G19*F19*E19</f>
        <v>5.5740000000000007</v>
      </c>
      <c r="I19" s="378"/>
    </row>
    <row r="20" spans="1:9">
      <c r="B20" s="256" t="s">
        <v>799</v>
      </c>
      <c r="E20" s="378">
        <v>0.15</v>
      </c>
      <c r="F20" s="378">
        <v>0.15</v>
      </c>
      <c r="G20" s="378">
        <v>3.4</v>
      </c>
      <c r="H20" s="378">
        <v>60</v>
      </c>
      <c r="I20" s="378">
        <f>H20*G20*F20*E20</f>
        <v>4.59</v>
      </c>
    </row>
    <row r="21" spans="1:9">
      <c r="B21" s="256" t="s">
        <v>558</v>
      </c>
      <c r="E21" s="378">
        <v>0.15</v>
      </c>
      <c r="F21" s="378">
        <v>0.15</v>
      </c>
      <c r="G21" s="378">
        <f>G19</f>
        <v>185.8</v>
      </c>
      <c r="H21" s="378">
        <f>G21*F21*E21</f>
        <v>4.1805000000000003</v>
      </c>
      <c r="I21" s="378"/>
    </row>
    <row r="22" spans="1:9">
      <c r="B22" s="255"/>
      <c r="E22" s="378"/>
      <c r="F22" s="378"/>
      <c r="G22" s="378"/>
      <c r="H22" s="378"/>
      <c r="I22" s="378"/>
    </row>
    <row r="23" spans="1:9">
      <c r="B23" s="255" t="s">
        <v>621</v>
      </c>
      <c r="E23" s="378">
        <v>3.4</v>
      </c>
      <c r="F23" s="378">
        <f>G18-50</f>
        <v>135.80000000000001</v>
      </c>
      <c r="G23" s="378"/>
      <c r="H23" s="378">
        <f>F23*E23</f>
        <v>461.72</v>
      </c>
      <c r="I23" s="378"/>
    </row>
    <row r="24" spans="1:9">
      <c r="B24" s="255"/>
      <c r="E24" s="378"/>
      <c r="F24" s="378"/>
      <c r="G24" s="378"/>
      <c r="H24" s="378"/>
      <c r="I24" s="378"/>
    </row>
    <row r="25" spans="1:9">
      <c r="B25" s="255"/>
      <c r="E25" s="378"/>
      <c r="F25" s="378"/>
      <c r="G25" s="378"/>
      <c r="H25" s="378"/>
      <c r="I25" s="378"/>
    </row>
    <row r="26" spans="1:9">
      <c r="B26" s="255"/>
      <c r="E26" s="378"/>
      <c r="F26" s="378"/>
      <c r="G26" s="378"/>
      <c r="H26" s="378"/>
      <c r="I26" s="378"/>
    </row>
    <row r="28" spans="1:9" ht="18">
      <c r="A28" s="389"/>
      <c r="B28" s="257" t="s">
        <v>798</v>
      </c>
      <c r="C28" s="258">
        <f>1*0.15*0.2</f>
        <v>0.03</v>
      </c>
      <c r="D28" s="259" t="s">
        <v>215</v>
      </c>
      <c r="E28" s="260"/>
      <c r="F28" s="261"/>
      <c r="G28" s="284"/>
    </row>
    <row r="29" spans="1:9" ht="15.75">
      <c r="A29" s="389"/>
      <c r="B29" s="266" t="s">
        <v>234</v>
      </c>
      <c r="C29" s="267"/>
      <c r="D29" s="268"/>
      <c r="E29" s="269"/>
      <c r="F29" s="269"/>
      <c r="G29" s="284"/>
    </row>
    <row r="30" spans="1:9" ht="15.75">
      <c r="A30" s="389"/>
      <c r="B30" s="266" t="s">
        <v>219</v>
      </c>
      <c r="C30" s="267">
        <f>C28*6</f>
        <v>0.18</v>
      </c>
      <c r="D30" s="268" t="s">
        <v>220</v>
      </c>
      <c r="E30" s="269">
        <v>55000</v>
      </c>
      <c r="F30" s="269">
        <f t="shared" ref="F30:F41" si="0">E30*C30</f>
        <v>9900</v>
      </c>
      <c r="G30" s="284"/>
    </row>
    <row r="31" spans="1:9" ht="18">
      <c r="A31" s="389"/>
      <c r="B31" s="266" t="s">
        <v>222</v>
      </c>
      <c r="C31" s="267">
        <f>C28*0.54</f>
        <v>1.6199999999999999E-2</v>
      </c>
      <c r="D31" s="268" t="s">
        <v>215</v>
      </c>
      <c r="E31" s="269">
        <v>380000</v>
      </c>
      <c r="F31" s="269">
        <f t="shared" si="0"/>
        <v>6156</v>
      </c>
      <c r="G31" s="284"/>
    </row>
    <row r="32" spans="1:9" ht="18">
      <c r="A32" s="389"/>
      <c r="B32" s="266" t="s">
        <v>224</v>
      </c>
      <c r="C32" s="267">
        <f>C28*0.82</f>
        <v>2.4599999999999997E-2</v>
      </c>
      <c r="D32" s="268" t="s">
        <v>215</v>
      </c>
      <c r="E32" s="269">
        <v>280000</v>
      </c>
      <c r="F32" s="269">
        <f t="shared" si="0"/>
        <v>6887.9999999999991</v>
      </c>
      <c r="G32" s="284"/>
    </row>
    <row r="33" spans="1:7" ht="15.75">
      <c r="A33" s="389"/>
      <c r="B33" s="266" t="s">
        <v>313</v>
      </c>
      <c r="C33" s="267">
        <v>0.35</v>
      </c>
      <c r="D33" s="268" t="s">
        <v>20</v>
      </c>
      <c r="E33" s="269">
        <v>61000</v>
      </c>
      <c r="F33" s="269">
        <f t="shared" si="0"/>
        <v>21350</v>
      </c>
      <c r="G33" s="284"/>
    </row>
    <row r="34" spans="1:7" ht="15.75">
      <c r="A34" s="389"/>
      <c r="B34" s="266" t="s">
        <v>239</v>
      </c>
      <c r="C34" s="267">
        <v>0.53</v>
      </c>
      <c r="D34" s="268" t="s">
        <v>20</v>
      </c>
      <c r="E34" s="269">
        <v>42000</v>
      </c>
      <c r="F34" s="269">
        <f t="shared" si="0"/>
        <v>22260</v>
      </c>
      <c r="G34" s="284"/>
    </row>
    <row r="35" spans="1:7" ht="15.75">
      <c r="A35" s="389"/>
      <c r="B35" s="266" t="s">
        <v>240</v>
      </c>
      <c r="C35" s="267">
        <v>0.3</v>
      </c>
      <c r="D35" s="268" t="s">
        <v>241</v>
      </c>
      <c r="E35" s="269">
        <v>100000</v>
      </c>
      <c r="F35" s="269">
        <f t="shared" si="0"/>
        <v>30000</v>
      </c>
      <c r="G35" s="284"/>
    </row>
    <row r="36" spans="1:7" ht="15.75">
      <c r="A36" s="389"/>
      <c r="B36" s="266" t="s">
        <v>242</v>
      </c>
      <c r="C36" s="267">
        <f>C28*2.5</f>
        <v>7.4999999999999997E-2</v>
      </c>
      <c r="D36" s="268" t="s">
        <v>17</v>
      </c>
      <c r="E36" s="269">
        <v>20000</v>
      </c>
      <c r="F36" s="269">
        <f t="shared" si="0"/>
        <v>1500</v>
      </c>
      <c r="G36" s="284"/>
    </row>
    <row r="37" spans="1:7" ht="15.75">
      <c r="A37" s="389"/>
      <c r="B37" s="266" t="s">
        <v>243</v>
      </c>
      <c r="C37" s="267">
        <v>0.02</v>
      </c>
      <c r="D37" s="268" t="s">
        <v>15</v>
      </c>
      <c r="E37" s="269">
        <v>2500000</v>
      </c>
      <c r="F37" s="269">
        <f t="shared" si="0"/>
        <v>50000</v>
      </c>
      <c r="G37" s="284"/>
    </row>
    <row r="38" spans="1:7" ht="15.75">
      <c r="A38" s="389"/>
      <c r="B38" s="266" t="s">
        <v>244</v>
      </c>
      <c r="C38" s="267">
        <f>C28*2</f>
        <v>0.06</v>
      </c>
      <c r="D38" s="268" t="s">
        <v>17</v>
      </c>
      <c r="E38" s="269">
        <v>18000</v>
      </c>
      <c r="F38" s="269">
        <f t="shared" si="0"/>
        <v>1080</v>
      </c>
      <c r="G38" s="284"/>
    </row>
    <row r="39" spans="1:7" ht="15.75">
      <c r="A39" s="389"/>
      <c r="B39" s="266" t="s">
        <v>245</v>
      </c>
      <c r="C39" s="280">
        <f>0.3*0.12*3</f>
        <v>0.10799999999999998</v>
      </c>
      <c r="D39" s="281" t="s">
        <v>14</v>
      </c>
      <c r="E39" s="282">
        <v>20000</v>
      </c>
      <c r="F39" s="282">
        <f t="shared" si="0"/>
        <v>2159.9999999999995</v>
      </c>
      <c r="G39" s="284"/>
    </row>
    <row r="40" spans="1:7" ht="15.75">
      <c r="A40" s="389"/>
      <c r="B40" s="266" t="s">
        <v>228</v>
      </c>
      <c r="C40" s="280">
        <f>(7.4*C33)+(4.73*C34)</f>
        <v>5.0968999999999998</v>
      </c>
      <c r="D40" s="281" t="s">
        <v>17</v>
      </c>
      <c r="E40" s="292">
        <v>3000</v>
      </c>
      <c r="F40" s="282">
        <f t="shared" si="0"/>
        <v>15290.699999999999</v>
      </c>
      <c r="G40" s="284"/>
    </row>
    <row r="41" spans="1:7" ht="18">
      <c r="A41" s="389"/>
      <c r="B41" s="279" t="s">
        <v>229</v>
      </c>
      <c r="C41" s="280">
        <f>C28*1</f>
        <v>0.03</v>
      </c>
      <c r="D41" s="281" t="s">
        <v>215</v>
      </c>
      <c r="E41" s="292">
        <v>300000</v>
      </c>
      <c r="F41" s="282">
        <f t="shared" si="0"/>
        <v>9000</v>
      </c>
      <c r="G41" s="284"/>
    </row>
    <row r="42" spans="1:7" ht="15.75">
      <c r="A42" s="389"/>
      <c r="B42" s="1146" t="s">
        <v>246</v>
      </c>
      <c r="C42" s="1147"/>
      <c r="D42" s="1147"/>
      <c r="E42" s="1147"/>
      <c r="F42" s="294">
        <f>SUM(F30:F41)</f>
        <v>175584.7</v>
      </c>
      <c r="G42" s="284">
        <f>F42/C28</f>
        <v>5852823.333333334</v>
      </c>
    </row>
  </sheetData>
  <mergeCells count="1">
    <mergeCell ref="B42:E42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54A360-931E-48E2-85CF-4E4BA8446085}">
  <dimension ref="A1:M330"/>
  <sheetViews>
    <sheetView topLeftCell="A43" workbookViewId="0"/>
  </sheetViews>
  <sheetFormatPr defaultColWidth="9" defaultRowHeight="15"/>
  <cols>
    <col min="1" max="1" width="6.7109375" style="226" customWidth="1"/>
    <col min="2" max="2" width="10.5703125" style="223" customWidth="1"/>
    <col min="3" max="3" width="31.7109375" style="223" customWidth="1"/>
    <col min="4" max="5" width="9" style="223"/>
    <col min="6" max="6" width="10" style="223" bestFit="1" customWidth="1"/>
    <col min="7" max="7" width="10" style="223" customWidth="1"/>
    <col min="8" max="8" width="14.5703125" style="223" customWidth="1"/>
    <col min="9" max="9" width="11.85546875" style="223" customWidth="1"/>
    <col min="10" max="10" width="11.5703125" style="223" bestFit="1" customWidth="1"/>
    <col min="11" max="11" width="9" style="223"/>
    <col min="12" max="12" width="14.5703125" style="223" customWidth="1"/>
    <col min="13" max="13" width="5.7109375" style="485" customWidth="1"/>
    <col min="14" max="16384" width="9" style="226"/>
  </cols>
  <sheetData>
    <row r="1" spans="1:13">
      <c r="A1" s="222" t="s">
        <v>188</v>
      </c>
    </row>
    <row r="2" spans="1:13">
      <c r="A2" s="222" t="s">
        <v>760</v>
      </c>
    </row>
    <row r="3" spans="1:13">
      <c r="A3" s="222"/>
    </row>
    <row r="4" spans="1:13">
      <c r="A4" s="224" t="s">
        <v>11</v>
      </c>
      <c r="B4" s="225" t="s">
        <v>190</v>
      </c>
    </row>
    <row r="5" spans="1:13">
      <c r="B5" s="223">
        <v>2</v>
      </c>
      <c r="C5" s="225">
        <v>12</v>
      </c>
      <c r="D5" s="223">
        <f>C5*B5</f>
        <v>24</v>
      </c>
    </row>
    <row r="6" spans="1:13">
      <c r="B6" s="223">
        <v>2</v>
      </c>
      <c r="C6" s="225">
        <v>20</v>
      </c>
      <c r="D6" s="223">
        <f>C6*B6</f>
        <v>40</v>
      </c>
    </row>
    <row r="7" spans="1:13">
      <c r="C7" s="225"/>
      <c r="E7" s="227">
        <f>SUM(D5:D6)</f>
        <v>64</v>
      </c>
    </row>
    <row r="8" spans="1:13" ht="17.25">
      <c r="A8" s="224" t="s">
        <v>12</v>
      </c>
      <c r="B8" s="228" t="s">
        <v>191</v>
      </c>
      <c r="C8" s="229"/>
    </row>
    <row r="10" spans="1:13">
      <c r="A10" s="226">
        <v>1</v>
      </c>
      <c r="B10" s="223" t="s">
        <v>192</v>
      </c>
      <c r="F10" s="223" t="s">
        <v>414</v>
      </c>
    </row>
    <row r="11" spans="1:13">
      <c r="D11" s="230" t="s">
        <v>193</v>
      </c>
      <c r="E11" s="230" t="s">
        <v>194</v>
      </c>
      <c r="F11" s="230" t="s">
        <v>195</v>
      </c>
      <c r="G11" s="230"/>
      <c r="H11" s="230"/>
    </row>
    <row r="12" spans="1:13">
      <c r="B12" s="231" t="s">
        <v>165</v>
      </c>
      <c r="C12" s="232" t="s">
        <v>197</v>
      </c>
      <c r="D12" s="486">
        <v>15</v>
      </c>
      <c r="F12" s="304">
        <v>15</v>
      </c>
      <c r="I12" s="223">
        <f>F12*E12*D12</f>
        <v>0</v>
      </c>
    </row>
    <row r="13" spans="1:13">
      <c r="B13" s="231"/>
      <c r="C13" s="232" t="s">
        <v>198</v>
      </c>
      <c r="D13" s="486">
        <f>4+2.4</f>
        <v>6.4</v>
      </c>
      <c r="F13" s="304">
        <f>4+2.4</f>
        <v>6.4</v>
      </c>
    </row>
    <row r="14" spans="1:13">
      <c r="B14" s="231" t="s">
        <v>199</v>
      </c>
      <c r="C14" s="232" t="s">
        <v>197</v>
      </c>
      <c r="D14" s="486">
        <v>15</v>
      </c>
      <c r="F14" s="304">
        <v>15</v>
      </c>
      <c r="I14" s="223">
        <f>F14*E14*D14</f>
        <v>0</v>
      </c>
    </row>
    <row r="15" spans="1:13">
      <c r="B15" s="231" t="s">
        <v>202</v>
      </c>
      <c r="C15" s="232" t="s">
        <v>415</v>
      </c>
      <c r="D15" s="486">
        <v>5.5</v>
      </c>
      <c r="I15" s="223">
        <f>F15*E15*D15</f>
        <v>0</v>
      </c>
    </row>
    <row r="16" spans="1:13" s="223" customFormat="1">
      <c r="A16" s="226"/>
      <c r="B16" s="231" t="s">
        <v>416</v>
      </c>
      <c r="C16" s="232"/>
      <c r="D16" s="487"/>
      <c r="I16" s="223">
        <f>F16*E16*D16</f>
        <v>0</v>
      </c>
      <c r="M16" s="485"/>
    </row>
    <row r="17" spans="1:13" s="223" customFormat="1">
      <c r="A17" s="226"/>
      <c r="B17" s="254" t="s">
        <v>417</v>
      </c>
      <c r="C17" s="232" t="s">
        <v>200</v>
      </c>
      <c r="D17" s="486">
        <f>5.5+4</f>
        <v>9.5</v>
      </c>
      <c r="F17" s="304">
        <f>5.5+4</f>
        <v>9.5</v>
      </c>
      <c r="I17" s="223">
        <f>F17*E17*D17</f>
        <v>0</v>
      </c>
      <c r="M17" s="485"/>
    </row>
    <row r="18" spans="1:13" s="223" customFormat="1">
      <c r="A18" s="226"/>
      <c r="B18" s="254" t="s">
        <v>63</v>
      </c>
      <c r="C18" s="232" t="s">
        <v>418</v>
      </c>
      <c r="D18" s="487">
        <v>5.5</v>
      </c>
      <c r="F18" s="488">
        <v>5.5</v>
      </c>
      <c r="I18" s="223">
        <f>F18*E18*D18</f>
        <v>0</v>
      </c>
      <c r="M18" s="485"/>
    </row>
    <row r="19" spans="1:13" s="223" customFormat="1">
      <c r="A19" s="226"/>
      <c r="B19" s="254"/>
      <c r="C19" s="232"/>
      <c r="M19" s="485"/>
    </row>
    <row r="20" spans="1:13" s="223" customFormat="1">
      <c r="A20" s="226"/>
      <c r="B20" s="254">
        <v>1</v>
      </c>
      <c r="C20" s="232" t="s">
        <v>419</v>
      </c>
      <c r="D20" s="223">
        <v>16.649999999999999</v>
      </c>
      <c r="E20" s="232" t="s">
        <v>420</v>
      </c>
      <c r="F20" s="488">
        <v>8.4</v>
      </c>
      <c r="M20" s="485"/>
    </row>
    <row r="21" spans="1:13" s="223" customFormat="1">
      <c r="A21" s="226"/>
      <c r="B21" s="254"/>
      <c r="C21" s="232"/>
      <c r="D21" s="223">
        <v>1.5</v>
      </c>
      <c r="F21" s="488">
        <f>D21</f>
        <v>1.5</v>
      </c>
      <c r="M21" s="485"/>
    </row>
    <row r="22" spans="1:13" s="223" customFormat="1">
      <c r="A22" s="226"/>
      <c r="B22" s="254">
        <v>2</v>
      </c>
      <c r="C22" s="232" t="s">
        <v>419</v>
      </c>
      <c r="D22" s="223">
        <v>16.649999999999999</v>
      </c>
      <c r="F22" s="488">
        <v>4</v>
      </c>
      <c r="M22" s="485"/>
    </row>
    <row r="23" spans="1:13" s="223" customFormat="1">
      <c r="A23" s="226"/>
      <c r="B23" s="245">
        <v>3</v>
      </c>
      <c r="C23" s="232" t="s">
        <v>421</v>
      </c>
      <c r="D23" s="223">
        <v>12.65</v>
      </c>
      <c r="F23" s="488"/>
      <c r="I23" s="223">
        <f>F23*E23*D23</f>
        <v>0</v>
      </c>
      <c r="M23" s="485"/>
    </row>
    <row r="24" spans="1:13" s="223" customFormat="1">
      <c r="A24" s="226"/>
      <c r="B24" s="245"/>
      <c r="C24" s="232"/>
      <c r="D24" s="223">
        <f>2*3</f>
        <v>6</v>
      </c>
      <c r="F24" s="488"/>
      <c r="M24" s="485"/>
    </row>
    <row r="25" spans="1:13" s="223" customFormat="1">
      <c r="A25" s="226"/>
      <c r="B25" s="245">
        <v>4</v>
      </c>
      <c r="C25" s="232" t="s">
        <v>421</v>
      </c>
      <c r="D25" s="223">
        <v>20</v>
      </c>
      <c r="F25" s="488">
        <f>D25</f>
        <v>20</v>
      </c>
      <c r="M25" s="485"/>
    </row>
    <row r="26" spans="1:13" s="223" customFormat="1">
      <c r="A26" s="226"/>
      <c r="B26" s="245">
        <v>5</v>
      </c>
      <c r="C26" s="232" t="s">
        <v>422</v>
      </c>
      <c r="D26" s="223">
        <v>4</v>
      </c>
      <c r="F26" s="488">
        <f>D26</f>
        <v>4</v>
      </c>
      <c r="M26" s="485"/>
    </row>
    <row r="27" spans="1:13" s="223" customFormat="1">
      <c r="A27" s="226"/>
      <c r="B27" s="245">
        <v>3</v>
      </c>
      <c r="C27" s="232" t="s">
        <v>421</v>
      </c>
      <c r="M27" s="485"/>
    </row>
    <row r="28" spans="1:13" s="223" customFormat="1">
      <c r="A28" s="226"/>
      <c r="B28" s="245"/>
      <c r="C28" s="232"/>
      <c r="M28" s="485"/>
    </row>
    <row r="29" spans="1:13" s="223" customFormat="1" ht="15.75">
      <c r="A29" s="489"/>
      <c r="B29" s="245"/>
      <c r="C29" s="232" t="s">
        <v>423</v>
      </c>
      <c r="E29" s="223">
        <v>3</v>
      </c>
      <c r="F29" s="235">
        <f>SUM(F12:F28)</f>
        <v>89.3</v>
      </c>
      <c r="H29" s="223">
        <f>F29*E29</f>
        <v>267.89999999999998</v>
      </c>
      <c r="M29" s="485"/>
    </row>
    <row r="30" spans="1:13" s="223" customFormat="1">
      <c r="A30" s="226"/>
      <c r="B30" s="254" t="s">
        <v>424</v>
      </c>
      <c r="C30" s="232" t="s">
        <v>425</v>
      </c>
      <c r="D30" s="223" t="s">
        <v>425</v>
      </c>
      <c r="E30" s="223">
        <v>0.63</v>
      </c>
      <c r="F30" s="223">
        <v>2.5</v>
      </c>
      <c r="G30" s="223">
        <v>1</v>
      </c>
      <c r="H30" s="223">
        <f>G30*F30*E30</f>
        <v>1.575</v>
      </c>
      <c r="M30" s="485"/>
    </row>
    <row r="31" spans="1:13" s="223" customFormat="1">
      <c r="A31" s="226"/>
      <c r="B31" s="245"/>
      <c r="C31" s="232"/>
      <c r="D31" s="223" t="s">
        <v>426</v>
      </c>
      <c r="E31" s="223">
        <v>2.74</v>
      </c>
      <c r="F31" s="223">
        <v>2.35</v>
      </c>
      <c r="G31" s="223">
        <v>1</v>
      </c>
      <c r="H31" s="223">
        <f>G31*F31*E31</f>
        <v>6.4390000000000009</v>
      </c>
      <c r="M31" s="485"/>
    </row>
    <row r="32" spans="1:13" s="223" customFormat="1" ht="17.25" customHeight="1">
      <c r="A32" s="226"/>
      <c r="B32" s="254"/>
      <c r="C32" s="232"/>
      <c r="D32" s="223" t="s">
        <v>427</v>
      </c>
      <c r="E32" s="223">
        <v>1.35</v>
      </c>
      <c r="F32" s="223">
        <v>0.4</v>
      </c>
      <c r="G32" s="223">
        <v>2</v>
      </c>
      <c r="H32" s="223">
        <f>G32*F32*E32</f>
        <v>1.08</v>
      </c>
      <c r="M32" s="485"/>
    </row>
    <row r="33" spans="1:13" s="223" customFormat="1" ht="19.5" customHeight="1">
      <c r="A33" s="226"/>
      <c r="B33" s="254"/>
      <c r="C33" s="232"/>
      <c r="D33" s="223" t="s">
        <v>428</v>
      </c>
      <c r="E33" s="223">
        <v>10</v>
      </c>
      <c r="F33" s="223">
        <v>2.5</v>
      </c>
      <c r="G33" s="223">
        <v>1</v>
      </c>
      <c r="H33" s="223">
        <f>G33*F33*E33</f>
        <v>25</v>
      </c>
      <c r="M33" s="485"/>
    </row>
    <row r="34" spans="1:13" s="223" customFormat="1" ht="18" customHeight="1">
      <c r="A34" s="226"/>
      <c r="B34" s="254"/>
      <c r="C34" s="232"/>
      <c r="H34" s="223">
        <f>H29-H30-H31-H32-H33</f>
        <v>233.80599999999998</v>
      </c>
      <c r="I34" s="223" t="s">
        <v>14</v>
      </c>
      <c r="M34" s="485"/>
    </row>
    <row r="35" spans="1:13" s="223" customFormat="1" ht="21.75" customHeight="1">
      <c r="A35" s="226"/>
      <c r="B35" s="254"/>
      <c r="C35" s="232"/>
      <c r="M35" s="485"/>
    </row>
    <row r="36" spans="1:13" s="223" customFormat="1" ht="21.75" customHeight="1">
      <c r="A36" s="226"/>
      <c r="B36" s="254"/>
      <c r="C36" s="232"/>
      <c r="M36" s="485"/>
    </row>
    <row r="37" spans="1:13" s="223" customFormat="1" ht="21.75" customHeight="1">
      <c r="A37" s="226"/>
      <c r="B37" s="254"/>
      <c r="C37" s="232"/>
      <c r="M37" s="485"/>
    </row>
    <row r="38" spans="1:13" s="223" customFormat="1" ht="21.75" customHeight="1">
      <c r="A38" s="226"/>
      <c r="B38" s="254"/>
      <c r="C38" s="232"/>
      <c r="E38" s="223" t="s">
        <v>429</v>
      </c>
      <c r="F38" s="223" t="s">
        <v>195</v>
      </c>
      <c r="G38" s="223" t="s">
        <v>268</v>
      </c>
      <c r="M38" s="485"/>
    </row>
    <row r="39" spans="1:13" s="223" customFormat="1" ht="21.75" customHeight="1">
      <c r="A39" s="226"/>
      <c r="B39" s="245"/>
      <c r="C39" s="232" t="s">
        <v>207</v>
      </c>
      <c r="D39" s="223" t="s">
        <v>430</v>
      </c>
      <c r="E39" s="235"/>
      <c r="H39" s="263"/>
      <c r="I39" s="264" t="s">
        <v>216</v>
      </c>
      <c r="J39" s="265" t="s">
        <v>217</v>
      </c>
      <c r="K39" s="236" t="s">
        <v>218</v>
      </c>
      <c r="L39" s="236"/>
      <c r="M39" s="485"/>
    </row>
    <row r="40" spans="1:13" s="223" customFormat="1" ht="21.75" customHeight="1">
      <c r="A40" s="226"/>
      <c r="B40" s="245"/>
      <c r="C40" s="232" t="s">
        <v>431</v>
      </c>
      <c r="E40" s="235"/>
      <c r="H40" s="270" t="s">
        <v>221</v>
      </c>
      <c r="I40" s="264">
        <v>310000</v>
      </c>
      <c r="J40" s="265">
        <v>13.6</v>
      </c>
      <c r="K40" s="236">
        <f>J40*I40</f>
        <v>4216000</v>
      </c>
      <c r="L40" s="237"/>
      <c r="M40" s="485"/>
    </row>
    <row r="41" spans="1:13" s="223" customFormat="1" ht="18">
      <c r="A41" s="226"/>
      <c r="B41" s="245"/>
      <c r="C41" s="232" t="s">
        <v>432</v>
      </c>
      <c r="E41" s="235"/>
      <c r="H41" s="251" t="s">
        <v>223</v>
      </c>
      <c r="I41" s="264">
        <v>50000</v>
      </c>
      <c r="J41" s="265">
        <f>J40</f>
        <v>13.6</v>
      </c>
      <c r="K41" s="236">
        <f>J41*I41</f>
        <v>680000</v>
      </c>
      <c r="L41" s="242"/>
      <c r="M41" s="485"/>
    </row>
    <row r="42" spans="1:13" s="223" customFormat="1" ht="15.75">
      <c r="A42" s="226"/>
      <c r="B42" s="245"/>
      <c r="C42" s="232" t="s">
        <v>433</v>
      </c>
      <c r="E42" s="235"/>
      <c r="H42" s="274" t="s">
        <v>225</v>
      </c>
      <c r="I42" s="274"/>
      <c r="J42" s="265"/>
      <c r="K42" s="246"/>
      <c r="L42" s="275">
        <f>SUM(K40:K41)</f>
        <v>4896000</v>
      </c>
      <c r="M42" s="485"/>
    </row>
    <row r="43" spans="1:13" s="223" customFormat="1" ht="15.75">
      <c r="A43" s="226"/>
      <c r="B43" s="245"/>
      <c r="E43" s="235"/>
      <c r="H43" s="235"/>
      <c r="M43" s="485"/>
    </row>
    <row r="44" spans="1:13" s="223" customFormat="1" ht="15.75">
      <c r="A44" s="226"/>
      <c r="B44" s="245"/>
      <c r="C44" s="232" t="s">
        <v>435</v>
      </c>
      <c r="E44" s="235"/>
      <c r="H44" s="235"/>
      <c r="M44" s="485"/>
    </row>
    <row r="45" spans="1:13" s="223" customFormat="1" ht="15.75">
      <c r="A45" s="226"/>
      <c r="B45" s="245"/>
      <c r="C45" s="232" t="s">
        <v>436</v>
      </c>
      <c r="E45" s="235"/>
      <c r="H45" s="235"/>
      <c r="M45" s="485"/>
    </row>
    <row r="46" spans="1:13" s="223" customFormat="1" ht="15.75">
      <c r="A46" s="226"/>
      <c r="B46" s="245"/>
      <c r="C46" s="232" t="s">
        <v>437</v>
      </c>
      <c r="E46" s="235"/>
      <c r="H46" s="235"/>
      <c r="M46" s="485"/>
    </row>
    <row r="47" spans="1:13" s="223" customFormat="1" ht="15.75">
      <c r="A47" s="226"/>
      <c r="B47" s="245"/>
      <c r="C47" s="232" t="s">
        <v>438</v>
      </c>
      <c r="E47" s="235"/>
      <c r="H47" s="235"/>
      <c r="M47" s="485"/>
    </row>
    <row r="48" spans="1:13" s="223" customFormat="1" ht="15.75">
      <c r="A48" s="226"/>
      <c r="B48" s="245"/>
      <c r="C48" s="232"/>
      <c r="E48" s="235"/>
      <c r="H48" s="235"/>
      <c r="M48" s="485"/>
    </row>
    <row r="49" spans="1:13" s="223" customFormat="1" ht="18">
      <c r="A49" s="226"/>
      <c r="B49" s="245"/>
      <c r="C49" s="257" t="s">
        <v>214</v>
      </c>
      <c r="D49" s="258">
        <f>1.2*1.2*0.3</f>
        <v>0.432</v>
      </c>
      <c r="E49" s="259" t="s">
        <v>215</v>
      </c>
      <c r="F49" s="260"/>
      <c r="G49" s="261"/>
      <c r="H49" s="262"/>
      <c r="M49" s="485"/>
    </row>
    <row r="50" spans="1:13" s="223" customFormat="1" ht="15.75">
      <c r="A50" s="226"/>
      <c r="B50" s="245"/>
      <c r="C50" s="266" t="s">
        <v>219</v>
      </c>
      <c r="D50" s="267">
        <f>D49*6</f>
        <v>2.5920000000000001</v>
      </c>
      <c r="E50" s="268" t="s">
        <v>220</v>
      </c>
      <c r="F50" s="269">
        <v>55000</v>
      </c>
      <c r="G50" s="269">
        <f>D50*F50</f>
        <v>142560</v>
      </c>
      <c r="H50" s="262"/>
      <c r="M50" s="485"/>
    </row>
    <row r="51" spans="1:13" s="223" customFormat="1" ht="18">
      <c r="A51" s="226"/>
      <c r="B51" s="245"/>
      <c r="C51" s="266" t="s">
        <v>222</v>
      </c>
      <c r="D51" s="267">
        <f>D49*0.52</f>
        <v>0.22464000000000001</v>
      </c>
      <c r="E51" s="268" t="s">
        <v>215</v>
      </c>
      <c r="F51" s="269">
        <v>380000</v>
      </c>
      <c r="G51" s="269">
        <f>D51*F51</f>
        <v>85363.199999999997</v>
      </c>
      <c r="H51" s="262"/>
      <c r="M51" s="485"/>
    </row>
    <row r="52" spans="1:13" s="223" customFormat="1" ht="18">
      <c r="A52" s="226"/>
      <c r="B52" s="245"/>
      <c r="C52" s="266" t="s">
        <v>224</v>
      </c>
      <c r="D52" s="267">
        <f>D49*0.82</f>
        <v>0.35424</v>
      </c>
      <c r="E52" s="268" t="s">
        <v>215</v>
      </c>
      <c r="F52" s="269">
        <v>280000</v>
      </c>
      <c r="G52" s="269">
        <f>D52*F52</f>
        <v>99187.199999999997</v>
      </c>
      <c r="H52" s="262"/>
      <c r="M52" s="485"/>
    </row>
    <row r="53" spans="1:13" s="223" customFormat="1" ht="15.75">
      <c r="A53" s="226"/>
      <c r="B53" s="245"/>
      <c r="C53" s="266" t="s">
        <v>226</v>
      </c>
      <c r="D53" s="267">
        <v>3</v>
      </c>
      <c r="E53" s="268" t="s">
        <v>20</v>
      </c>
      <c r="F53" s="276">
        <v>100000</v>
      </c>
      <c r="G53" s="269">
        <f>F53*D53</f>
        <v>300000</v>
      </c>
      <c r="H53" s="262"/>
      <c r="M53" s="485"/>
    </row>
    <row r="54" spans="1:13" s="223" customFormat="1" ht="15.75">
      <c r="A54" s="226"/>
      <c r="B54" s="245"/>
      <c r="C54" s="266" t="s">
        <v>227</v>
      </c>
      <c r="D54" s="267">
        <f>D55/50</f>
        <v>0.75</v>
      </c>
      <c r="E54" s="268" t="s">
        <v>17</v>
      </c>
      <c r="F54" s="269">
        <v>20000</v>
      </c>
      <c r="G54" s="269">
        <f>F54*D54</f>
        <v>15000</v>
      </c>
      <c r="H54" s="262"/>
      <c r="M54" s="485"/>
    </row>
    <row r="55" spans="1:13" s="223" customFormat="1" ht="18.75" customHeight="1">
      <c r="A55" s="226"/>
      <c r="B55" s="245"/>
      <c r="C55" s="266" t="s">
        <v>228</v>
      </c>
      <c r="D55" s="267">
        <f>D53*12.5</f>
        <v>37.5</v>
      </c>
      <c r="E55" s="268" t="s">
        <v>17</v>
      </c>
      <c r="F55" s="269">
        <v>3000</v>
      </c>
      <c r="G55" s="269">
        <f>D55*F55</f>
        <v>112500</v>
      </c>
      <c r="H55" s="262"/>
      <c r="M55" s="485"/>
    </row>
    <row r="56" spans="1:13" s="223" customFormat="1" ht="18.75" customHeight="1">
      <c r="A56" s="226"/>
      <c r="B56" s="245"/>
      <c r="C56" s="279" t="s">
        <v>229</v>
      </c>
      <c r="D56" s="280">
        <f>D49</f>
        <v>0.432</v>
      </c>
      <c r="E56" s="281" t="s">
        <v>215</v>
      </c>
      <c r="F56" s="282">
        <v>300000</v>
      </c>
      <c r="G56" s="282">
        <f>D56*F56</f>
        <v>129600</v>
      </c>
      <c r="H56" s="262"/>
      <c r="I56" s="227"/>
      <c r="M56" s="485"/>
    </row>
    <row r="57" spans="1:13" s="223" customFormat="1" ht="18.75" customHeight="1">
      <c r="A57" s="226"/>
      <c r="B57" s="245"/>
      <c r="C57" s="1147" t="s">
        <v>230</v>
      </c>
      <c r="D57" s="1147"/>
      <c r="E57" s="1147"/>
      <c r="F57" s="1147"/>
      <c r="G57" s="283">
        <f>SUM(G50:G56)</f>
        <v>884210.4</v>
      </c>
      <c r="H57" s="284">
        <f>G57/D49</f>
        <v>2046783.3333333335</v>
      </c>
      <c r="M57" s="485"/>
    </row>
    <row r="58" spans="1:13" s="223" customFormat="1" ht="15.75">
      <c r="A58" s="226"/>
      <c r="B58" s="245"/>
      <c r="C58" s="237"/>
      <c r="D58" s="265"/>
      <c r="M58" s="485"/>
    </row>
    <row r="59" spans="1:13" s="223" customFormat="1" ht="15.75">
      <c r="A59" s="226"/>
      <c r="B59" s="245"/>
      <c r="C59" s="232"/>
      <c r="E59" s="235"/>
      <c r="G59" s="312"/>
      <c r="H59" s="312"/>
      <c r="M59" s="485"/>
    </row>
    <row r="60" spans="1:13" s="223" customFormat="1" ht="15.75">
      <c r="A60" s="226"/>
      <c r="B60" s="245"/>
      <c r="C60" s="232"/>
      <c r="E60" s="235"/>
      <c r="G60" s="312"/>
      <c r="H60" s="312"/>
      <c r="M60" s="485"/>
    </row>
    <row r="61" spans="1:13" s="223" customFormat="1" ht="15.75">
      <c r="A61" s="226"/>
      <c r="B61" s="245"/>
      <c r="C61" s="232"/>
      <c r="E61" s="235"/>
      <c r="G61" s="312"/>
      <c r="H61" s="312"/>
      <c r="M61" s="485"/>
    </row>
    <row r="62" spans="1:13" s="223" customFormat="1" ht="15.75">
      <c r="A62" s="226"/>
      <c r="B62" s="245"/>
      <c r="E62" s="235"/>
      <c r="G62" s="312"/>
      <c r="H62" s="312"/>
      <c r="M62" s="485"/>
    </row>
    <row r="63" spans="1:13" s="223" customFormat="1" ht="15.75">
      <c r="A63" s="226"/>
      <c r="B63" s="245"/>
      <c r="C63" s="232"/>
      <c r="E63" s="235"/>
      <c r="G63" s="312"/>
      <c r="H63" s="235"/>
      <c r="I63" s="235"/>
      <c r="M63" s="485"/>
    </row>
    <row r="64" spans="1:13" s="223" customFormat="1" ht="15.75">
      <c r="A64" s="226"/>
      <c r="B64" s="245"/>
      <c r="C64" s="232"/>
      <c r="E64" s="235"/>
      <c r="G64" s="235"/>
      <c r="H64" s="235"/>
      <c r="M64" s="485"/>
    </row>
    <row r="65" spans="1:13" s="223" customFormat="1" ht="15.75">
      <c r="A65" s="489"/>
      <c r="B65" s="245"/>
      <c r="C65" s="232"/>
      <c r="E65" s="235"/>
      <c r="G65" s="235"/>
      <c r="H65" s="235"/>
      <c r="M65" s="485"/>
    </row>
    <row r="66" spans="1:13" s="223" customFormat="1" ht="15.75">
      <c r="A66" s="226"/>
      <c r="B66" s="245"/>
      <c r="C66" s="232"/>
      <c r="E66" s="312"/>
      <c r="G66" s="312"/>
      <c r="H66" s="312"/>
      <c r="M66" s="485"/>
    </row>
    <row r="67" spans="1:13" s="223" customFormat="1" ht="15.75">
      <c r="A67" s="226"/>
      <c r="B67" s="245"/>
      <c r="C67" s="232"/>
      <c r="E67" s="312"/>
      <c r="G67" s="312"/>
      <c r="H67" s="312"/>
      <c r="M67" s="485"/>
    </row>
    <row r="68" spans="1:13" s="223" customFormat="1" ht="15.75">
      <c r="A68" s="226"/>
      <c r="B68" s="245"/>
      <c r="C68" s="232"/>
      <c r="E68" s="235"/>
      <c r="G68" s="235"/>
      <c r="H68" s="235"/>
      <c r="I68" s="235"/>
      <c r="M68" s="485"/>
    </row>
    <row r="69" spans="1:13" s="223" customFormat="1" ht="37.5" hidden="1" customHeight="1">
      <c r="A69" s="226"/>
      <c r="B69" s="245"/>
      <c r="D69" s="233"/>
      <c r="G69" s="317"/>
      <c r="H69" s="235"/>
      <c r="I69" s="341"/>
      <c r="M69" s="485"/>
    </row>
    <row r="70" spans="1:13" s="223" customFormat="1" ht="37.5" hidden="1" customHeight="1">
      <c r="A70" s="378"/>
      <c r="B70" s="518"/>
      <c r="C70" s="232"/>
      <c r="D70" s="519"/>
      <c r="G70" s="317"/>
      <c r="I70" s="341"/>
      <c r="M70" s="485"/>
    </row>
    <row r="71" spans="1:13" s="223" customFormat="1" ht="37.5" hidden="1" customHeight="1">
      <c r="A71" s="226"/>
      <c r="B71" s="308"/>
      <c r="D71" s="520"/>
      <c r="G71" s="316"/>
      <c r="H71" s="316"/>
      <c r="I71" s="316"/>
      <c r="M71" s="485"/>
    </row>
    <row r="72" spans="1:13" s="223" customFormat="1" ht="37.5" hidden="1" customHeight="1">
      <c r="A72" s="226"/>
      <c r="B72" s="308"/>
      <c r="D72" s="309"/>
      <c r="G72" s="316"/>
      <c r="H72" s="316"/>
      <c r="I72" s="316"/>
      <c r="M72" s="485"/>
    </row>
    <row r="73" spans="1:13" s="223" customFormat="1" ht="37.5" hidden="1" customHeight="1">
      <c r="A73" s="226"/>
      <c r="B73" s="308"/>
      <c r="D73" s="312"/>
      <c r="F73" s="235"/>
      <c r="G73" s="317"/>
      <c r="H73" s="225"/>
      <c r="I73" s="316"/>
      <c r="M73" s="485"/>
    </row>
    <row r="74" spans="1:13" s="223" customFormat="1" ht="37.5" hidden="1" customHeight="1">
      <c r="A74" s="226"/>
      <c r="B74" s="308"/>
      <c r="D74" s="312"/>
      <c r="F74" s="235"/>
      <c r="G74" s="315"/>
      <c r="H74" s="225"/>
      <c r="I74" s="316"/>
      <c r="M74" s="485"/>
    </row>
    <row r="75" spans="1:13" s="223" customFormat="1" ht="37.5" hidden="1" customHeight="1">
      <c r="A75" s="226"/>
      <c r="B75" s="308"/>
      <c r="D75" s="312"/>
      <c r="F75" s="235"/>
      <c r="G75" s="315"/>
      <c r="H75" s="225"/>
      <c r="I75" s="316"/>
      <c r="M75" s="485"/>
    </row>
    <row r="76" spans="1:13" s="223" customFormat="1" ht="37.5" hidden="1" customHeight="1">
      <c r="A76" s="226"/>
      <c r="B76" s="308"/>
      <c r="D76" s="312"/>
      <c r="F76" s="235"/>
      <c r="G76" s="315"/>
      <c r="H76" s="225"/>
      <c r="I76" s="316"/>
      <c r="M76" s="485"/>
    </row>
    <row r="77" spans="1:13" s="223" customFormat="1" ht="37.5" hidden="1" customHeight="1">
      <c r="A77" s="226"/>
      <c r="B77" s="308"/>
      <c r="D77" s="312"/>
      <c r="F77" s="235"/>
      <c r="G77" s="315"/>
      <c r="H77" s="225"/>
      <c r="I77" s="316"/>
      <c r="M77" s="485"/>
    </row>
    <row r="78" spans="1:13" s="223" customFormat="1" ht="37.5" hidden="1" customHeight="1">
      <c r="A78" s="226"/>
      <c r="B78" s="308"/>
      <c r="D78" s="312"/>
      <c r="F78" s="235"/>
      <c r="G78" s="315"/>
      <c r="H78" s="225"/>
      <c r="I78" s="316"/>
      <c r="M78" s="485"/>
    </row>
    <row r="79" spans="1:13" s="223" customFormat="1" ht="37.5" hidden="1" customHeight="1">
      <c r="A79" s="226"/>
      <c r="B79" s="308"/>
      <c r="D79" s="312"/>
      <c r="F79" s="235"/>
      <c r="G79" s="315"/>
      <c r="H79" s="225"/>
      <c r="I79" s="316"/>
      <c r="M79" s="485"/>
    </row>
    <row r="80" spans="1:13" s="223" customFormat="1" ht="37.5" hidden="1" customHeight="1">
      <c r="A80" s="226"/>
      <c r="B80" s="308"/>
      <c r="D80" s="312"/>
      <c r="F80" s="235"/>
      <c r="G80" s="315"/>
      <c r="H80" s="225"/>
      <c r="I80" s="316"/>
      <c r="M80" s="485"/>
    </row>
    <row r="81" spans="1:13" s="223" customFormat="1">
      <c r="A81" s="226"/>
      <c r="B81" s="321"/>
      <c r="G81" s="320"/>
      <c r="H81" s="225"/>
      <c r="I81" s="225"/>
      <c r="M81" s="485"/>
    </row>
    <row r="82" spans="1:13" s="223" customFormat="1">
      <c r="A82" s="226"/>
      <c r="B82" s="321"/>
      <c r="G82" s="320"/>
      <c r="H82" s="225"/>
      <c r="I82" s="225"/>
      <c r="M82" s="485"/>
    </row>
    <row r="83" spans="1:13" s="223" customFormat="1">
      <c r="A83" s="226"/>
      <c r="B83" s="321"/>
      <c r="G83" s="320"/>
      <c r="H83" s="225"/>
      <c r="I83" s="225"/>
      <c r="M83" s="485"/>
    </row>
    <row r="84" spans="1:13" s="223" customFormat="1">
      <c r="A84" s="226"/>
      <c r="B84" s="321"/>
      <c r="I84" s="225"/>
      <c r="M84" s="485"/>
    </row>
    <row r="85" spans="1:13" s="223" customFormat="1" ht="15.75">
      <c r="A85" s="226"/>
      <c r="B85" s="321"/>
      <c r="F85" s="235"/>
      <c r="G85" s="320"/>
      <c r="H85" s="225"/>
      <c r="I85" s="225"/>
      <c r="M85" s="485"/>
    </row>
    <row r="86" spans="1:13" s="223" customFormat="1">
      <c r="A86" s="226"/>
      <c r="B86" s="321"/>
      <c r="G86" s="320"/>
      <c r="H86" s="225"/>
      <c r="I86" s="225"/>
      <c r="M86" s="485"/>
    </row>
    <row r="87" spans="1:13" s="223" customFormat="1">
      <c r="A87" s="226"/>
      <c r="B87" s="321"/>
      <c r="G87" s="320"/>
      <c r="H87" s="225"/>
      <c r="I87" s="225"/>
      <c r="M87" s="485"/>
    </row>
    <row r="88" spans="1:13" s="223" customFormat="1">
      <c r="A88" s="226"/>
      <c r="B88" s="321"/>
      <c r="G88" s="320"/>
      <c r="H88" s="225"/>
      <c r="I88" s="225"/>
      <c r="M88" s="485"/>
    </row>
    <row r="89" spans="1:13" s="223" customFormat="1">
      <c r="A89" s="226"/>
      <c r="B89" s="321"/>
      <c r="G89" s="320"/>
      <c r="H89" s="225"/>
      <c r="I89" s="225"/>
      <c r="M89" s="485"/>
    </row>
    <row r="90" spans="1:13" s="223" customFormat="1" ht="15.75">
      <c r="A90" s="226"/>
      <c r="B90" s="321"/>
      <c r="G90" s="235"/>
      <c r="H90" s="225"/>
      <c r="I90" s="225"/>
      <c r="M90" s="485"/>
    </row>
    <row r="91" spans="1:13" s="223" customFormat="1" ht="15.75">
      <c r="A91" s="226"/>
      <c r="B91" s="321"/>
      <c r="G91" s="235"/>
      <c r="H91" s="225"/>
      <c r="I91" s="225"/>
      <c r="M91" s="485"/>
    </row>
    <row r="92" spans="1:13" s="223" customFormat="1">
      <c r="A92" s="226"/>
      <c r="B92" s="321"/>
      <c r="G92" s="320"/>
      <c r="H92" s="225"/>
      <c r="I92" s="225"/>
      <c r="M92" s="485"/>
    </row>
    <row r="93" spans="1:13" s="223" customFormat="1">
      <c r="A93" s="226"/>
      <c r="B93" s="321"/>
      <c r="G93" s="320"/>
      <c r="H93" s="225"/>
      <c r="I93" s="225"/>
      <c r="M93" s="485"/>
    </row>
    <row r="94" spans="1:13" s="223" customFormat="1">
      <c r="A94" s="226"/>
      <c r="B94" s="321"/>
      <c r="G94" s="320"/>
      <c r="H94" s="225"/>
      <c r="I94" s="225"/>
      <c r="M94" s="485"/>
    </row>
    <row r="95" spans="1:13" s="223" customFormat="1">
      <c r="A95" s="226"/>
      <c r="B95" s="321"/>
      <c r="G95" s="320"/>
      <c r="H95" s="225"/>
      <c r="I95" s="225"/>
      <c r="M95" s="485"/>
    </row>
    <row r="96" spans="1:13" s="223" customFormat="1">
      <c r="A96" s="226"/>
      <c r="B96" s="321"/>
      <c r="G96" s="320"/>
      <c r="H96" s="225"/>
      <c r="I96" s="225"/>
      <c r="M96" s="485"/>
    </row>
    <row r="97" spans="1:13" s="223" customFormat="1" ht="15.75">
      <c r="A97" s="226"/>
      <c r="B97" s="321"/>
      <c r="G97" s="235"/>
      <c r="H97" s="225"/>
      <c r="I97" s="225"/>
      <c r="M97" s="485"/>
    </row>
    <row r="98" spans="1:13" s="223" customFormat="1" ht="15.75">
      <c r="A98" s="226"/>
      <c r="B98" s="321"/>
      <c r="G98" s="235"/>
      <c r="H98" s="225"/>
      <c r="I98" s="225"/>
      <c r="M98" s="485"/>
    </row>
    <row r="99" spans="1:13" s="223" customFormat="1">
      <c r="A99" s="226"/>
      <c r="B99" s="321"/>
      <c r="G99" s="320"/>
      <c r="H99" s="225"/>
      <c r="I99" s="225"/>
      <c r="M99" s="485"/>
    </row>
    <row r="100" spans="1:13" s="223" customFormat="1">
      <c r="A100" s="226"/>
      <c r="D100" s="230"/>
      <c r="E100" s="230"/>
      <c r="F100" s="230"/>
      <c r="G100" s="225"/>
      <c r="H100" s="225"/>
      <c r="I100" s="225"/>
      <c r="J100" s="225"/>
      <c r="M100" s="485"/>
    </row>
    <row r="101" spans="1:13" s="223" customFormat="1">
      <c r="A101" s="226"/>
      <c r="D101" s="230"/>
      <c r="E101" s="230"/>
      <c r="F101" s="230"/>
      <c r="G101" s="225"/>
      <c r="H101" s="225"/>
      <c r="I101" s="225"/>
      <c r="J101" s="225"/>
      <c r="M101" s="485"/>
    </row>
    <row r="102" spans="1:13" s="223" customFormat="1">
      <c r="A102" s="226"/>
      <c r="D102" s="230"/>
      <c r="E102" s="230"/>
      <c r="F102" s="230"/>
      <c r="G102" s="225"/>
      <c r="H102" s="225"/>
      <c r="I102" s="225"/>
      <c r="J102" s="225"/>
      <c r="M102" s="485"/>
    </row>
    <row r="103" spans="1:13" s="223" customFormat="1">
      <c r="A103" s="226"/>
      <c r="D103" s="230"/>
      <c r="E103" s="230"/>
      <c r="F103" s="230"/>
      <c r="G103" s="225"/>
      <c r="H103" s="225"/>
      <c r="I103" s="225"/>
      <c r="J103" s="225"/>
      <c r="M103" s="485"/>
    </row>
    <row r="104" spans="1:13" s="223" customFormat="1">
      <c r="A104" s="226"/>
      <c r="D104" s="230"/>
      <c r="E104" s="230"/>
      <c r="F104" s="230"/>
      <c r="G104" s="225"/>
      <c r="H104" s="225"/>
      <c r="I104" s="225"/>
      <c r="J104" s="225"/>
      <c r="M104" s="485"/>
    </row>
    <row r="105" spans="1:13" s="223" customFormat="1">
      <c r="A105" s="226"/>
      <c r="D105" s="230"/>
      <c r="E105" s="230"/>
      <c r="F105" s="230"/>
      <c r="G105" s="225"/>
      <c r="H105" s="225"/>
      <c r="I105" s="225"/>
      <c r="J105" s="225"/>
      <c r="M105" s="485"/>
    </row>
    <row r="106" spans="1:13" s="223" customFormat="1">
      <c r="A106" s="226"/>
      <c r="D106" s="230"/>
      <c r="E106" s="230"/>
      <c r="F106" s="230"/>
      <c r="G106" s="225"/>
      <c r="H106" s="225"/>
      <c r="I106" s="225"/>
      <c r="J106" s="225"/>
      <c r="M106" s="485"/>
    </row>
    <row r="107" spans="1:13" s="223" customFormat="1" ht="15.75">
      <c r="A107" s="226"/>
      <c r="D107" s="230"/>
      <c r="E107" s="230"/>
      <c r="F107" s="332"/>
      <c r="G107" s="225"/>
      <c r="H107" s="225"/>
      <c r="I107" s="225"/>
      <c r="J107" s="225"/>
      <c r="M107" s="485"/>
    </row>
    <row r="108" spans="1:13" s="223" customFormat="1">
      <c r="A108" s="226"/>
      <c r="D108" s="230"/>
      <c r="E108" s="230"/>
      <c r="F108" s="230"/>
      <c r="G108" s="225"/>
      <c r="H108" s="225"/>
      <c r="I108" s="225"/>
      <c r="J108" s="225"/>
      <c r="M108" s="485"/>
    </row>
    <row r="109" spans="1:13" s="223" customFormat="1">
      <c r="A109" s="226"/>
      <c r="D109" s="230"/>
      <c r="E109" s="230"/>
      <c r="F109" s="230"/>
      <c r="G109" s="225"/>
      <c r="H109" s="225"/>
      <c r="I109" s="225"/>
      <c r="J109" s="225"/>
      <c r="M109" s="485"/>
    </row>
    <row r="110" spans="1:13" s="223" customFormat="1">
      <c r="A110" s="226"/>
      <c r="D110" s="230"/>
      <c r="E110" s="230"/>
      <c r="F110" s="230"/>
      <c r="G110" s="225"/>
      <c r="H110" s="225"/>
      <c r="I110" s="225"/>
      <c r="J110" s="225"/>
      <c r="M110" s="485"/>
    </row>
    <row r="111" spans="1:13" s="223" customFormat="1" ht="15.75">
      <c r="A111" s="226"/>
      <c r="D111" s="230"/>
      <c r="E111" s="230"/>
      <c r="F111" s="332"/>
      <c r="G111" s="225"/>
      <c r="H111" s="225"/>
      <c r="I111" s="225"/>
      <c r="J111" s="225"/>
      <c r="M111" s="485"/>
    </row>
    <row r="112" spans="1:13" s="223" customFormat="1">
      <c r="A112" s="226"/>
      <c r="D112" s="230"/>
      <c r="E112" s="230"/>
      <c r="F112" s="230"/>
      <c r="G112" s="225"/>
      <c r="H112" s="225"/>
      <c r="I112" s="225"/>
      <c r="J112" s="225"/>
      <c r="M112" s="485"/>
    </row>
    <row r="113" spans="1:13" s="223" customFormat="1">
      <c r="A113" s="226"/>
      <c r="D113" s="230"/>
      <c r="E113" s="230"/>
      <c r="F113" s="230"/>
      <c r="G113" s="225"/>
      <c r="H113" s="225"/>
      <c r="I113" s="225"/>
      <c r="J113" s="225"/>
      <c r="M113" s="485"/>
    </row>
    <row r="114" spans="1:13" s="223" customFormat="1">
      <c r="A114" s="226"/>
      <c r="M114" s="485"/>
    </row>
    <row r="115" spans="1:13" s="223" customFormat="1">
      <c r="A115" s="226"/>
      <c r="D115" s="230"/>
      <c r="E115" s="230"/>
      <c r="G115" s="230"/>
      <c r="M115" s="485"/>
    </row>
    <row r="116" spans="1:13" s="223" customFormat="1">
      <c r="A116" s="226"/>
      <c r="D116" s="230"/>
      <c r="E116" s="230"/>
      <c r="G116" s="230"/>
      <c r="M116" s="485"/>
    </row>
    <row r="117" spans="1:13" s="223" customFormat="1">
      <c r="A117" s="226"/>
      <c r="D117" s="230"/>
      <c r="E117" s="230"/>
      <c r="G117" s="230"/>
      <c r="M117" s="485"/>
    </row>
    <row r="118" spans="1:13" s="223" customFormat="1">
      <c r="A118" s="226"/>
      <c r="D118" s="230"/>
      <c r="E118" s="230"/>
      <c r="G118" s="230"/>
      <c r="M118" s="485"/>
    </row>
    <row r="119" spans="1:13" s="223" customFormat="1">
      <c r="A119" s="226"/>
      <c r="D119" s="230"/>
      <c r="E119" s="230"/>
      <c r="G119" s="230"/>
      <c r="M119" s="485"/>
    </row>
    <row r="120" spans="1:13" s="223" customFormat="1">
      <c r="A120" s="226"/>
      <c r="D120" s="230"/>
      <c r="E120" s="230"/>
      <c r="G120" s="230"/>
      <c r="M120" s="485"/>
    </row>
    <row r="121" spans="1:13" s="223" customFormat="1">
      <c r="A121" s="226"/>
      <c r="D121" s="230"/>
      <c r="E121" s="230"/>
      <c r="G121" s="230"/>
      <c r="M121" s="485"/>
    </row>
    <row r="122" spans="1:13" s="223" customFormat="1">
      <c r="A122" s="226"/>
      <c r="D122" s="230"/>
      <c r="E122" s="230"/>
      <c r="G122" s="230"/>
      <c r="M122" s="485"/>
    </row>
    <row r="123" spans="1:13" s="223" customFormat="1">
      <c r="A123" s="226"/>
      <c r="D123" s="230"/>
      <c r="E123" s="230"/>
      <c r="G123" s="230"/>
      <c r="M123" s="485"/>
    </row>
    <row r="124" spans="1:13" s="223" customFormat="1">
      <c r="A124" s="226"/>
      <c r="D124" s="230"/>
      <c r="E124" s="230"/>
      <c r="G124" s="230"/>
      <c r="M124" s="485"/>
    </row>
    <row r="125" spans="1:13" s="223" customFormat="1">
      <c r="A125" s="226"/>
      <c r="D125" s="230"/>
      <c r="E125" s="230"/>
      <c r="G125" s="230"/>
      <c r="M125" s="485"/>
    </row>
    <row r="126" spans="1:13" s="223" customFormat="1">
      <c r="A126" s="226"/>
      <c r="D126" s="230"/>
      <c r="E126" s="230"/>
      <c r="G126" s="230"/>
      <c r="M126" s="485"/>
    </row>
    <row r="127" spans="1:13" s="223" customFormat="1">
      <c r="A127" s="226"/>
      <c r="C127" s="231"/>
      <c r="M127" s="485"/>
    </row>
    <row r="130" spans="1:13" s="223" customFormat="1">
      <c r="A130" s="226"/>
      <c r="C130" s="231"/>
      <c r="D130" s="336"/>
      <c r="M130" s="485"/>
    </row>
    <row r="131" spans="1:13" s="223" customFormat="1">
      <c r="A131" s="226"/>
      <c r="B131" s="231"/>
      <c r="M131" s="485"/>
    </row>
    <row r="132" spans="1:13" s="223" customFormat="1">
      <c r="A132" s="226"/>
      <c r="B132" s="231"/>
      <c r="C132" s="336"/>
      <c r="M132" s="485"/>
    </row>
    <row r="133" spans="1:13" s="223" customFormat="1" ht="15.75">
      <c r="A133" s="226"/>
      <c r="B133" s="337"/>
      <c r="C133" s="233"/>
      <c r="I133" s="235"/>
      <c r="J133" s="227"/>
      <c r="M133" s="485"/>
    </row>
    <row r="134" spans="1:13" s="223" customFormat="1">
      <c r="A134" s="226"/>
      <c r="B134" s="245"/>
      <c r="M134" s="485"/>
    </row>
    <row r="135" spans="1:13" s="223" customFormat="1">
      <c r="A135" s="226"/>
      <c r="D135" s="223">
        <f>D115</f>
        <v>0</v>
      </c>
      <c r="E135" s="223">
        <v>2</v>
      </c>
      <c r="G135" s="230">
        <f>E135*D135</f>
        <v>0</v>
      </c>
      <c r="H135" s="223" t="s">
        <v>14</v>
      </c>
      <c r="M135" s="485"/>
    </row>
    <row r="136" spans="1:13" s="223" customFormat="1">
      <c r="A136" s="226"/>
      <c r="B136" s="245"/>
      <c r="C136" s="338" t="s">
        <v>288</v>
      </c>
      <c r="M136" s="485"/>
    </row>
    <row r="137" spans="1:13" s="223" customFormat="1" ht="15.75">
      <c r="A137" s="226"/>
      <c r="B137" s="333" t="s">
        <v>289</v>
      </c>
      <c r="D137" s="338"/>
      <c r="E137" s="223">
        <v>69.45</v>
      </c>
      <c r="F137" s="223">
        <v>2</v>
      </c>
      <c r="G137" s="312">
        <f>F137*E137</f>
        <v>138.9</v>
      </c>
      <c r="M137" s="485"/>
    </row>
    <row r="138" spans="1:13" s="223" customFormat="1" ht="15.75">
      <c r="A138" s="226"/>
      <c r="B138" s="333" t="s">
        <v>290</v>
      </c>
      <c r="D138" s="338"/>
      <c r="E138" s="223">
        <v>51.89</v>
      </c>
      <c r="F138" s="223">
        <v>1</v>
      </c>
      <c r="G138" s="312">
        <f>F138*E138</f>
        <v>51.89</v>
      </c>
      <c r="M138" s="485"/>
    </row>
    <row r="139" spans="1:13" s="223" customFormat="1" ht="15.75">
      <c r="A139" s="226"/>
      <c r="B139" s="245"/>
      <c r="D139" s="338"/>
      <c r="H139" s="235">
        <f>SUM(G137:G138)</f>
        <v>190.79000000000002</v>
      </c>
      <c r="M139" s="485"/>
    </row>
    <row r="140" spans="1:13" s="223" customFormat="1">
      <c r="A140" s="226"/>
      <c r="B140" s="333" t="s">
        <v>291</v>
      </c>
      <c r="D140" s="338"/>
      <c r="G140" s="223">
        <f>G150</f>
        <v>231.5248</v>
      </c>
      <c r="M140" s="485"/>
    </row>
    <row r="143" spans="1:13" s="223" customFormat="1">
      <c r="A143" s="226"/>
      <c r="B143" s="339"/>
      <c r="I143" s="225"/>
      <c r="J143" s="225"/>
      <c r="K143" s="225"/>
      <c r="M143" s="485"/>
    </row>
    <row r="144" spans="1:13" s="223" customFormat="1">
      <c r="A144" s="226" t="s">
        <v>292</v>
      </c>
      <c r="B144" s="339"/>
      <c r="I144" s="225"/>
      <c r="J144" s="225"/>
      <c r="K144" s="225"/>
      <c r="M144" s="485"/>
    </row>
    <row r="145" spans="1:13" s="223" customFormat="1">
      <c r="A145" s="226"/>
      <c r="B145" s="339">
        <v>1</v>
      </c>
      <c r="C145" s="223">
        <v>3</v>
      </c>
      <c r="D145" s="223">
        <v>1.5</v>
      </c>
      <c r="F145" s="223">
        <f>D145*C145</f>
        <v>4.5</v>
      </c>
      <c r="I145" s="225"/>
      <c r="J145" s="225"/>
      <c r="K145" s="225"/>
      <c r="M145" s="485"/>
    </row>
    <row r="146" spans="1:13" s="223" customFormat="1">
      <c r="A146" s="226"/>
      <c r="B146" s="339">
        <v>2</v>
      </c>
      <c r="C146" s="223">
        <v>11.75</v>
      </c>
      <c r="D146" s="223">
        <v>12</v>
      </c>
      <c r="F146" s="223">
        <f>D146*C146</f>
        <v>141</v>
      </c>
      <c r="I146" s="225"/>
      <c r="J146" s="225"/>
      <c r="K146" s="225"/>
      <c r="M146" s="485"/>
    </row>
    <row r="147" spans="1:13" s="223" customFormat="1">
      <c r="A147" s="226"/>
      <c r="B147" s="339">
        <v>3</v>
      </c>
      <c r="C147" s="223">
        <v>5.0599999999999996</v>
      </c>
      <c r="D147" s="223">
        <v>1.94</v>
      </c>
      <c r="E147" s="223">
        <v>2</v>
      </c>
      <c r="F147" s="223">
        <f>E147*D147*C147</f>
        <v>19.6328</v>
      </c>
      <c r="I147" s="225"/>
      <c r="J147" s="225"/>
      <c r="K147" s="225"/>
      <c r="M147" s="485"/>
    </row>
    <row r="148" spans="1:13" s="223" customFormat="1">
      <c r="A148" s="226"/>
      <c r="B148" s="339">
        <v>4</v>
      </c>
      <c r="C148" s="223">
        <v>6.28</v>
      </c>
      <c r="D148" s="223">
        <v>6.2</v>
      </c>
      <c r="F148" s="223">
        <f>D148*C148</f>
        <v>38.936</v>
      </c>
      <c r="I148" s="225"/>
      <c r="J148" s="225"/>
      <c r="K148" s="225"/>
      <c r="M148" s="485"/>
    </row>
    <row r="149" spans="1:13" s="223" customFormat="1">
      <c r="A149" s="226"/>
      <c r="B149" s="339">
        <v>5</v>
      </c>
      <c r="C149" s="223">
        <v>4.8</v>
      </c>
      <c r="D149" s="223">
        <v>2.86</v>
      </c>
      <c r="E149" s="223">
        <v>2</v>
      </c>
      <c r="F149" s="223">
        <f>E149*D149*C149</f>
        <v>27.456</v>
      </c>
      <c r="I149" s="225"/>
      <c r="J149" s="225"/>
      <c r="K149" s="225"/>
      <c r="M149" s="485"/>
    </row>
    <row r="150" spans="1:13" s="223" customFormat="1" ht="15.75">
      <c r="A150" s="226"/>
      <c r="G150" s="235">
        <f>SUM(F145:F149)</f>
        <v>231.5248</v>
      </c>
      <c r="H150" s="235"/>
      <c r="M150" s="485"/>
    </row>
    <row r="151" spans="1:13" s="223" customFormat="1">
      <c r="A151" s="226"/>
      <c r="B151" s="339"/>
      <c r="G151" s="340"/>
      <c r="H151" s="340"/>
      <c r="K151" s="225"/>
      <c r="M151" s="485"/>
    </row>
    <row r="152" spans="1:13" s="223" customFormat="1">
      <c r="A152" s="226"/>
      <c r="B152" s="333" t="s">
        <v>293</v>
      </c>
      <c r="D152" s="223">
        <v>4.8</v>
      </c>
      <c r="E152" s="223">
        <v>2.86</v>
      </c>
      <c r="F152" s="223">
        <v>2</v>
      </c>
      <c r="G152" s="223">
        <f>F152*E152*D152</f>
        <v>27.456</v>
      </c>
      <c r="J152" s="230"/>
      <c r="M152" s="485"/>
    </row>
    <row r="153" spans="1:13" s="223" customFormat="1">
      <c r="A153" s="226"/>
      <c r="B153" s="333" t="s">
        <v>294</v>
      </c>
      <c r="D153" s="223">
        <v>6.2</v>
      </c>
      <c r="E153" s="223">
        <v>6.28</v>
      </c>
      <c r="G153" s="223">
        <f>E153*D153</f>
        <v>38.936</v>
      </c>
      <c r="K153" s="340"/>
      <c r="M153" s="485"/>
    </row>
    <row r="154" spans="1:13" s="223" customFormat="1">
      <c r="A154" s="226"/>
      <c r="B154" s="333" t="s">
        <v>295</v>
      </c>
      <c r="D154" s="223">
        <v>11.75</v>
      </c>
      <c r="E154" s="223">
        <v>12</v>
      </c>
      <c r="F154" s="223">
        <v>4.5</v>
      </c>
      <c r="G154" s="223">
        <f>D154*E154+F154</f>
        <v>145.5</v>
      </c>
      <c r="K154" s="340"/>
      <c r="M154" s="485"/>
    </row>
    <row r="155" spans="1:13" s="223" customFormat="1" ht="17.25">
      <c r="A155" s="226"/>
      <c r="B155" s="339" t="s">
        <v>296</v>
      </c>
      <c r="D155" s="223">
        <v>2</v>
      </c>
      <c r="E155" s="223">
        <v>5</v>
      </c>
      <c r="F155" s="223">
        <v>2</v>
      </c>
      <c r="G155" s="223">
        <f>F155*E155*D155</f>
        <v>20</v>
      </c>
      <c r="J155" s="341"/>
      <c r="K155" s="340"/>
      <c r="M155" s="485"/>
    </row>
    <row r="156" spans="1:13" s="223" customFormat="1">
      <c r="A156" s="226"/>
      <c r="B156" s="339"/>
      <c r="J156" s="342"/>
      <c r="K156" s="342"/>
      <c r="M156" s="485"/>
    </row>
    <row r="157" spans="1:13" s="223" customFormat="1">
      <c r="A157" s="224"/>
      <c r="B157" s="343" t="s">
        <v>297</v>
      </c>
      <c r="D157" s="223">
        <v>3</v>
      </c>
      <c r="E157" s="223">
        <v>6</v>
      </c>
      <c r="F157" s="223">
        <f>E157*D157</f>
        <v>18</v>
      </c>
      <c r="G157" s="320"/>
      <c r="H157" s="227"/>
      <c r="M157" s="485"/>
    </row>
    <row r="158" spans="1:13" s="223" customFormat="1">
      <c r="A158" s="226"/>
      <c r="B158" s="339"/>
      <c r="F158" s="223">
        <v>1.4</v>
      </c>
      <c r="M158" s="485"/>
    </row>
    <row r="159" spans="1:13" s="223" customFormat="1" ht="15.75">
      <c r="A159" s="226"/>
      <c r="B159" s="339"/>
      <c r="F159" s="223">
        <f>SUM(F157:F158)</f>
        <v>19.399999999999999</v>
      </c>
      <c r="G159" s="223">
        <v>3</v>
      </c>
      <c r="H159" s="235">
        <f>G159*F159</f>
        <v>58.199999999999996</v>
      </c>
      <c r="M159" s="485"/>
    </row>
    <row r="160" spans="1:13" s="223" customFormat="1" ht="15.75">
      <c r="A160" s="226"/>
      <c r="B160" s="344"/>
      <c r="G160" s="230"/>
      <c r="H160" s="230"/>
      <c r="M160" s="485"/>
    </row>
    <row r="161" spans="1:13" s="223" customFormat="1">
      <c r="A161" s="226"/>
      <c r="B161" s="345" t="s">
        <v>298</v>
      </c>
      <c r="M161" s="485"/>
    </row>
    <row r="162" spans="1:13" s="223" customFormat="1">
      <c r="A162" s="226"/>
      <c r="B162" s="346"/>
      <c r="D162" s="223" t="s">
        <v>299</v>
      </c>
      <c r="E162" s="223" t="s">
        <v>267</v>
      </c>
      <c r="F162" s="223" t="s">
        <v>241</v>
      </c>
      <c r="G162" s="223" t="s">
        <v>300</v>
      </c>
      <c r="H162" s="223" t="s">
        <v>301</v>
      </c>
      <c r="M162" s="485"/>
    </row>
    <row r="163" spans="1:13" s="223" customFormat="1">
      <c r="A163" s="226"/>
      <c r="B163" s="346"/>
      <c r="C163" s="223" t="s">
        <v>302</v>
      </c>
      <c r="D163" s="223">
        <v>0.15</v>
      </c>
      <c r="E163" s="223">
        <v>1</v>
      </c>
      <c r="F163" s="223">
        <v>1</v>
      </c>
      <c r="G163" s="223">
        <f>F163*E163*D163</f>
        <v>0.15</v>
      </c>
      <c r="H163" s="223">
        <v>350000</v>
      </c>
      <c r="I163" s="223">
        <f>H163*G163</f>
        <v>52500</v>
      </c>
      <c r="M163" s="485"/>
    </row>
    <row r="164" spans="1:13" s="223" customFormat="1">
      <c r="A164" s="226"/>
      <c r="B164" s="346"/>
      <c r="C164" s="223" t="s">
        <v>303</v>
      </c>
      <c r="D164" s="223">
        <v>0.03</v>
      </c>
      <c r="E164" s="223">
        <v>1</v>
      </c>
      <c r="F164" s="223">
        <v>1</v>
      </c>
      <c r="G164" s="223">
        <f>F164*E164*D164</f>
        <v>0.03</v>
      </c>
      <c r="H164" s="223">
        <v>420000</v>
      </c>
      <c r="I164" s="223">
        <f>H164*G164</f>
        <v>12600</v>
      </c>
      <c r="M164" s="485"/>
    </row>
    <row r="165" spans="1:13" s="223" customFormat="1">
      <c r="A165" s="226"/>
      <c r="C165" s="223" t="s">
        <v>304</v>
      </c>
      <c r="D165" s="223">
        <v>1</v>
      </c>
      <c r="E165" s="223">
        <v>1</v>
      </c>
      <c r="F165" s="225">
        <v>1</v>
      </c>
      <c r="G165" s="223">
        <f>F165*E165*D165</f>
        <v>1</v>
      </c>
      <c r="H165" s="225">
        <v>100000</v>
      </c>
      <c r="I165" s="223">
        <f>H165*G165</f>
        <v>100000</v>
      </c>
      <c r="M165" s="485"/>
    </row>
    <row r="166" spans="1:13" s="223" customFormat="1">
      <c r="A166" s="226"/>
      <c r="C166" s="223" t="s">
        <v>229</v>
      </c>
      <c r="E166" s="225"/>
      <c r="G166" s="225">
        <v>1</v>
      </c>
      <c r="H166" s="225">
        <v>50000</v>
      </c>
      <c r="I166" s="223">
        <f>H166*G166</f>
        <v>50000</v>
      </c>
      <c r="M166" s="485"/>
    </row>
    <row r="167" spans="1:13" s="223" customFormat="1">
      <c r="A167" s="226"/>
      <c r="B167" s="330"/>
      <c r="D167" s="223" t="s">
        <v>305</v>
      </c>
      <c r="J167" s="223">
        <f>SUM(I163:I166)</f>
        <v>215100</v>
      </c>
      <c r="M167" s="485"/>
    </row>
    <row r="168" spans="1:13" s="223" customFormat="1">
      <c r="A168" s="226"/>
      <c r="E168" s="225"/>
      <c r="M168" s="485"/>
    </row>
    <row r="169" spans="1:13" s="223" customFormat="1">
      <c r="A169" s="226"/>
      <c r="C169" s="223" t="s">
        <v>142</v>
      </c>
      <c r="D169" s="223" t="s">
        <v>299</v>
      </c>
      <c r="E169" s="225" t="s">
        <v>306</v>
      </c>
      <c r="F169" s="223" t="s">
        <v>307</v>
      </c>
      <c r="G169" s="225" t="s">
        <v>308</v>
      </c>
      <c r="H169" s="225"/>
      <c r="M169" s="485"/>
    </row>
    <row r="170" spans="1:13" s="223" customFormat="1">
      <c r="A170" s="226"/>
      <c r="D170" s="223">
        <v>0.2</v>
      </c>
      <c r="E170" s="223">
        <v>6</v>
      </c>
      <c r="F170" s="223">
        <v>2</v>
      </c>
      <c r="G170" s="223" t="s">
        <v>15</v>
      </c>
      <c r="H170" s="225">
        <f>F170*E170*D170</f>
        <v>2.4000000000000004</v>
      </c>
      <c r="I170" s="225"/>
      <c r="M170" s="485"/>
    </row>
    <row r="172" spans="1:13" s="223" customFormat="1" ht="18">
      <c r="A172" s="226"/>
      <c r="B172" s="347" t="s">
        <v>309</v>
      </c>
      <c r="C172" s="348" t="s">
        <v>310</v>
      </c>
      <c r="D172" s="349">
        <f>1*0.15*0.3</f>
        <v>4.4999999999999998E-2</v>
      </c>
      <c r="E172" s="350" t="s">
        <v>311</v>
      </c>
      <c r="F172" s="351"/>
      <c r="G172" s="352"/>
      <c r="H172" s="353"/>
      <c r="M172" s="485"/>
    </row>
    <row r="173" spans="1:13" s="223" customFormat="1" ht="16.5">
      <c r="A173" s="226"/>
      <c r="B173" s="347"/>
      <c r="C173" s="354" t="s">
        <v>234</v>
      </c>
      <c r="D173" s="355"/>
      <c r="E173" s="356"/>
      <c r="F173" s="357"/>
      <c r="G173" s="357"/>
      <c r="H173" s="353"/>
      <c r="M173" s="485"/>
    </row>
    <row r="174" spans="1:13" s="223" customFormat="1" ht="16.5">
      <c r="A174" s="226"/>
      <c r="B174" s="347"/>
      <c r="C174" s="354" t="s">
        <v>219</v>
      </c>
      <c r="D174" s="355">
        <f>D172*6</f>
        <v>0.27</v>
      </c>
      <c r="E174" s="356" t="s">
        <v>220</v>
      </c>
      <c r="F174" s="357">
        <v>53000</v>
      </c>
      <c r="G174" s="357">
        <f t="shared" ref="G174:G185" si="0">F174*D174</f>
        <v>14310.000000000002</v>
      </c>
      <c r="H174" s="353"/>
      <c r="M174" s="485"/>
    </row>
    <row r="175" spans="1:13" s="223" customFormat="1" ht="18">
      <c r="A175" s="226"/>
      <c r="B175" s="347"/>
      <c r="C175" s="354" t="s">
        <v>222</v>
      </c>
      <c r="D175" s="355">
        <f>D172*0.54</f>
        <v>2.4300000000000002E-2</v>
      </c>
      <c r="E175" s="356" t="s">
        <v>311</v>
      </c>
      <c r="F175" s="357">
        <v>310000</v>
      </c>
      <c r="G175" s="357">
        <f t="shared" si="0"/>
        <v>7533.0000000000009</v>
      </c>
      <c r="H175" s="353"/>
      <c r="M175" s="485"/>
    </row>
    <row r="176" spans="1:13" s="223" customFormat="1" ht="18">
      <c r="A176" s="226"/>
      <c r="B176" s="347"/>
      <c r="C176" s="354" t="s">
        <v>224</v>
      </c>
      <c r="D176" s="355">
        <f>D172*0.82</f>
        <v>3.6899999999999995E-2</v>
      </c>
      <c r="E176" s="356" t="s">
        <v>311</v>
      </c>
      <c r="F176" s="357">
        <v>310000</v>
      </c>
      <c r="G176" s="357">
        <f t="shared" si="0"/>
        <v>11438.999999999998</v>
      </c>
      <c r="H176" s="353"/>
      <c r="M176" s="485"/>
    </row>
    <row r="177" spans="1:13" s="223" customFormat="1" ht="16.5">
      <c r="A177" s="226"/>
      <c r="B177" s="347"/>
      <c r="C177" s="354" t="s">
        <v>226</v>
      </c>
      <c r="D177" s="355">
        <v>1</v>
      </c>
      <c r="E177" s="356" t="s">
        <v>20</v>
      </c>
      <c r="F177" s="357">
        <v>103000</v>
      </c>
      <c r="G177" s="357">
        <f t="shared" si="0"/>
        <v>103000</v>
      </c>
      <c r="H177" s="353"/>
      <c r="M177" s="485"/>
    </row>
    <row r="178" spans="1:13" s="223" customFormat="1" ht="16.5">
      <c r="A178" s="226"/>
      <c r="B178" s="347"/>
      <c r="C178" s="354" t="s">
        <v>239</v>
      </c>
      <c r="D178" s="355">
        <v>0.2</v>
      </c>
      <c r="E178" s="356" t="s">
        <v>20</v>
      </c>
      <c r="F178" s="357">
        <v>39000</v>
      </c>
      <c r="G178" s="357">
        <f t="shared" si="0"/>
        <v>7800</v>
      </c>
      <c r="H178" s="353"/>
      <c r="M178" s="485"/>
    </row>
    <row r="179" spans="1:13" s="223" customFormat="1" ht="16.5">
      <c r="A179" s="226"/>
      <c r="B179" s="347"/>
      <c r="C179" s="354" t="s">
        <v>240</v>
      </c>
      <c r="D179" s="355">
        <v>0.5</v>
      </c>
      <c r="E179" s="356" t="s">
        <v>241</v>
      </c>
      <c r="F179" s="357">
        <v>95000</v>
      </c>
      <c r="G179" s="357">
        <f t="shared" si="0"/>
        <v>47500</v>
      </c>
      <c r="H179" s="353"/>
      <c r="I179" s="225"/>
      <c r="M179" s="485"/>
    </row>
    <row r="180" spans="1:13" s="223" customFormat="1" ht="16.5">
      <c r="A180" s="226"/>
      <c r="B180" s="347"/>
      <c r="C180" s="354" t="s">
        <v>242</v>
      </c>
      <c r="D180" s="355">
        <f>D172*2.5</f>
        <v>0.11249999999999999</v>
      </c>
      <c r="E180" s="356" t="s">
        <v>17</v>
      </c>
      <c r="F180" s="357">
        <v>20000</v>
      </c>
      <c r="G180" s="357">
        <f t="shared" si="0"/>
        <v>2250</v>
      </c>
      <c r="H180" s="353"/>
      <c r="I180" s="225"/>
      <c r="M180" s="485"/>
    </row>
    <row r="181" spans="1:13" s="223" customFormat="1" ht="16.5">
      <c r="A181" s="226"/>
      <c r="B181" s="347"/>
      <c r="C181" s="354" t="s">
        <v>243</v>
      </c>
      <c r="D181" s="355">
        <v>0.02</v>
      </c>
      <c r="E181" s="356" t="s">
        <v>15</v>
      </c>
      <c r="F181" s="357">
        <v>2500000</v>
      </c>
      <c r="G181" s="357">
        <f t="shared" si="0"/>
        <v>50000</v>
      </c>
      <c r="H181" s="353"/>
      <c r="I181" s="225"/>
      <c r="M181" s="485"/>
    </row>
    <row r="182" spans="1:13" s="223" customFormat="1" ht="16.5">
      <c r="A182" s="226"/>
      <c r="B182" s="347"/>
      <c r="C182" s="354" t="s">
        <v>244</v>
      </c>
      <c r="D182" s="355">
        <f>D172*2</f>
        <v>0.09</v>
      </c>
      <c r="E182" s="356" t="s">
        <v>17</v>
      </c>
      <c r="F182" s="357">
        <v>18000</v>
      </c>
      <c r="G182" s="357">
        <f t="shared" si="0"/>
        <v>1620</v>
      </c>
      <c r="H182" s="353"/>
      <c r="I182" s="225"/>
      <c r="M182" s="485"/>
    </row>
    <row r="183" spans="1:13" s="223" customFormat="1" ht="16.5">
      <c r="A183" s="226"/>
      <c r="B183" s="347"/>
      <c r="C183" s="354" t="s">
        <v>245</v>
      </c>
      <c r="D183" s="358">
        <f>0.3*0.12*3</f>
        <v>0.10799999999999998</v>
      </c>
      <c r="E183" s="359" t="s">
        <v>14</v>
      </c>
      <c r="F183" s="360">
        <v>20000</v>
      </c>
      <c r="G183" s="360">
        <f t="shared" si="0"/>
        <v>2159.9999999999995</v>
      </c>
      <c r="H183" s="353"/>
      <c r="I183" s="225"/>
      <c r="M183" s="485"/>
    </row>
    <row r="184" spans="1:13" s="223" customFormat="1" ht="16.5">
      <c r="A184" s="226"/>
      <c r="B184" s="347"/>
      <c r="C184" s="354" t="s">
        <v>228</v>
      </c>
      <c r="D184" s="358">
        <v>8.67</v>
      </c>
      <c r="E184" s="359" t="s">
        <v>17</v>
      </c>
      <c r="F184" s="361">
        <v>3000</v>
      </c>
      <c r="G184" s="360">
        <f t="shared" si="0"/>
        <v>26010</v>
      </c>
      <c r="H184" s="353"/>
      <c r="I184" s="225"/>
      <c r="M184" s="485"/>
    </row>
    <row r="185" spans="1:13" s="223" customFormat="1" ht="18">
      <c r="A185" s="226"/>
      <c r="B185" s="347"/>
      <c r="C185" s="362" t="s">
        <v>229</v>
      </c>
      <c r="D185" s="358">
        <f>D172*1</f>
        <v>4.4999999999999998E-2</v>
      </c>
      <c r="E185" s="359" t="s">
        <v>311</v>
      </c>
      <c r="F185" s="361">
        <v>300000</v>
      </c>
      <c r="G185" s="360">
        <f t="shared" si="0"/>
        <v>13500</v>
      </c>
      <c r="H185" s="353"/>
      <c r="I185" s="225"/>
      <c r="M185" s="485"/>
    </row>
    <row r="186" spans="1:13" s="223" customFormat="1" ht="16.5">
      <c r="A186" s="226"/>
      <c r="B186" s="363"/>
      <c r="C186" s="1148" t="s">
        <v>246</v>
      </c>
      <c r="D186" s="1149"/>
      <c r="E186" s="1149"/>
      <c r="F186" s="1149"/>
      <c r="G186" s="364">
        <f>SUM(G174:G185)</f>
        <v>287122</v>
      </c>
      <c r="H186" s="353">
        <f>G186/D172</f>
        <v>6380488.888888889</v>
      </c>
      <c r="I186" s="225"/>
      <c r="M186" s="485"/>
    </row>
    <row r="187" spans="1:13" s="223" customFormat="1">
      <c r="A187" s="226"/>
      <c r="I187" s="225"/>
      <c r="M187" s="485"/>
    </row>
    <row r="188" spans="1:13" s="223" customFormat="1" ht="18">
      <c r="A188" s="226"/>
      <c r="B188" s="340"/>
      <c r="C188" s="348" t="s">
        <v>312</v>
      </c>
      <c r="D188" s="349">
        <f>0.2*6*2</f>
        <v>2.4000000000000004</v>
      </c>
      <c r="E188" s="350" t="s">
        <v>311</v>
      </c>
      <c r="F188" s="351"/>
      <c r="G188" s="352"/>
      <c r="H188" s="353"/>
      <c r="I188" s="225"/>
      <c r="M188" s="485"/>
    </row>
    <row r="189" spans="1:13" s="223" customFormat="1" ht="16.5">
      <c r="A189" s="226"/>
      <c r="B189" s="340"/>
      <c r="C189" s="354" t="s">
        <v>234</v>
      </c>
      <c r="D189" s="355"/>
      <c r="E189" s="356"/>
      <c r="F189" s="357"/>
      <c r="G189" s="357"/>
      <c r="H189" s="353"/>
      <c r="I189" s="225"/>
      <c r="M189" s="485"/>
    </row>
    <row r="190" spans="1:13" s="223" customFormat="1" ht="16.5">
      <c r="A190" s="226"/>
      <c r="B190" s="340"/>
      <c r="C190" s="354" t="s">
        <v>219</v>
      </c>
      <c r="D190" s="355">
        <f>D188*6</f>
        <v>14.400000000000002</v>
      </c>
      <c r="E190" s="356" t="s">
        <v>220</v>
      </c>
      <c r="F190" s="357">
        <v>53000</v>
      </c>
      <c r="G190" s="357">
        <f t="shared" ref="G190:G200" si="1">F190*D190</f>
        <v>763200.00000000012</v>
      </c>
      <c r="H190" s="353"/>
      <c r="I190" s="225"/>
      <c r="M190" s="485"/>
    </row>
    <row r="191" spans="1:13" s="223" customFormat="1" ht="18">
      <c r="A191" s="226"/>
      <c r="B191" s="340"/>
      <c r="C191" s="354" t="s">
        <v>222</v>
      </c>
      <c r="D191" s="355">
        <f>D188*0.54</f>
        <v>1.2960000000000003</v>
      </c>
      <c r="E191" s="356" t="s">
        <v>311</v>
      </c>
      <c r="F191" s="357">
        <v>310000</v>
      </c>
      <c r="G191" s="357">
        <f t="shared" si="1"/>
        <v>401760.00000000006</v>
      </c>
      <c r="H191" s="353"/>
      <c r="I191" s="342"/>
      <c r="M191" s="485"/>
    </row>
    <row r="192" spans="1:13" s="223" customFormat="1" ht="18">
      <c r="A192" s="226"/>
      <c r="C192" s="354" t="s">
        <v>224</v>
      </c>
      <c r="D192" s="355">
        <f>D188*0.82</f>
        <v>1.9680000000000002</v>
      </c>
      <c r="E192" s="356" t="s">
        <v>311</v>
      </c>
      <c r="F192" s="357">
        <v>310000</v>
      </c>
      <c r="G192" s="357">
        <f t="shared" si="1"/>
        <v>610080.00000000012</v>
      </c>
      <c r="H192" s="353"/>
      <c r="M192" s="485"/>
    </row>
    <row r="193" spans="1:13" s="223" customFormat="1" ht="16.5">
      <c r="A193" s="226"/>
      <c r="C193" s="354" t="s">
        <v>313</v>
      </c>
      <c r="D193" s="355">
        <v>28</v>
      </c>
      <c r="E193" s="356" t="s">
        <v>20</v>
      </c>
      <c r="F193" s="357">
        <v>87000</v>
      </c>
      <c r="G193" s="357">
        <f t="shared" si="1"/>
        <v>2436000</v>
      </c>
      <c r="H193" s="353"/>
      <c r="M193" s="485"/>
    </row>
    <row r="194" spans="1:13" s="223" customFormat="1" ht="16.5">
      <c r="A194" s="226"/>
      <c r="C194" s="354" t="s">
        <v>240</v>
      </c>
      <c r="D194" s="355">
        <v>4</v>
      </c>
      <c r="E194" s="356" t="s">
        <v>241</v>
      </c>
      <c r="F194" s="357">
        <v>95000</v>
      </c>
      <c r="G194" s="357">
        <f t="shared" si="1"/>
        <v>380000</v>
      </c>
      <c r="H194" s="353"/>
      <c r="M194" s="485"/>
    </row>
    <row r="195" spans="1:13" s="223" customFormat="1" ht="18">
      <c r="A195" s="226"/>
      <c r="C195" s="354" t="s">
        <v>242</v>
      </c>
      <c r="D195" s="355">
        <f>D188*2.5</f>
        <v>6.0000000000000009</v>
      </c>
      <c r="E195" s="356" t="s">
        <v>17</v>
      </c>
      <c r="F195" s="357">
        <v>20000</v>
      </c>
      <c r="G195" s="357">
        <f t="shared" si="1"/>
        <v>120000.00000000001</v>
      </c>
      <c r="H195" s="353"/>
      <c r="I195" s="341"/>
      <c r="M195" s="485"/>
    </row>
    <row r="196" spans="1:13" s="223" customFormat="1" ht="16.5">
      <c r="A196" s="226"/>
      <c r="C196" s="354" t="s">
        <v>243</v>
      </c>
      <c r="D196" s="355">
        <v>0.5</v>
      </c>
      <c r="E196" s="356" t="s">
        <v>15</v>
      </c>
      <c r="F196" s="357">
        <v>2500000</v>
      </c>
      <c r="G196" s="357">
        <f t="shared" si="1"/>
        <v>1250000</v>
      </c>
      <c r="H196" s="353"/>
      <c r="I196" s="342"/>
      <c r="J196" s="342"/>
      <c r="M196" s="485"/>
    </row>
    <row r="197" spans="1:13" s="223" customFormat="1" ht="16.5">
      <c r="A197" s="226"/>
      <c r="C197" s="354" t="s">
        <v>244</v>
      </c>
      <c r="D197" s="355">
        <f>D188*2</f>
        <v>4.8000000000000007</v>
      </c>
      <c r="E197" s="356" t="s">
        <v>17</v>
      </c>
      <c r="F197" s="357">
        <v>18000</v>
      </c>
      <c r="G197" s="357">
        <f t="shared" si="1"/>
        <v>86400.000000000015</v>
      </c>
      <c r="H197" s="353"/>
      <c r="M197" s="485"/>
    </row>
    <row r="198" spans="1:13" s="223" customFormat="1" ht="16.5">
      <c r="A198" s="226"/>
      <c r="C198" s="354" t="s">
        <v>245</v>
      </c>
      <c r="D198" s="358">
        <f>2*6</f>
        <v>12</v>
      </c>
      <c r="E198" s="359" t="s">
        <v>14</v>
      </c>
      <c r="F198" s="360">
        <v>20000</v>
      </c>
      <c r="G198" s="360">
        <f t="shared" si="1"/>
        <v>240000</v>
      </c>
      <c r="H198" s="353"/>
      <c r="M198" s="485"/>
    </row>
    <row r="199" spans="1:13" s="223" customFormat="1" ht="16.5">
      <c r="A199" s="226"/>
      <c r="C199" s="354" t="s">
        <v>228</v>
      </c>
      <c r="D199" s="358">
        <f>D193*7.39</f>
        <v>206.92</v>
      </c>
      <c r="E199" s="359" t="s">
        <v>17</v>
      </c>
      <c r="F199" s="361">
        <v>3000</v>
      </c>
      <c r="G199" s="360">
        <f t="shared" si="1"/>
        <v>620760</v>
      </c>
      <c r="H199" s="353"/>
      <c r="M199" s="485"/>
    </row>
    <row r="200" spans="1:13" s="223" customFormat="1" ht="18">
      <c r="A200" s="226"/>
      <c r="C200" s="362" t="s">
        <v>229</v>
      </c>
      <c r="D200" s="358">
        <f>D188*1</f>
        <v>2.4000000000000004</v>
      </c>
      <c r="E200" s="359" t="s">
        <v>311</v>
      </c>
      <c r="F200" s="361">
        <v>300000</v>
      </c>
      <c r="G200" s="360">
        <f t="shared" si="1"/>
        <v>720000.00000000012</v>
      </c>
      <c r="H200" s="353"/>
      <c r="M200" s="485"/>
    </row>
    <row r="201" spans="1:13" s="223" customFormat="1" ht="18">
      <c r="A201" s="226"/>
      <c r="C201" s="1148" t="s">
        <v>246</v>
      </c>
      <c r="D201" s="1149"/>
      <c r="E201" s="1149"/>
      <c r="F201" s="1149"/>
      <c r="G201" s="364">
        <f>SUM(G190:G200)</f>
        <v>7628200</v>
      </c>
      <c r="H201" s="353">
        <f>G201/D188</f>
        <v>3178416.666666666</v>
      </c>
      <c r="I201" s="341"/>
      <c r="M201" s="485"/>
    </row>
    <row r="202" spans="1:13" s="223" customFormat="1">
      <c r="A202" s="226"/>
      <c r="G202" s="225"/>
      <c r="H202" s="225"/>
      <c r="I202" s="225"/>
      <c r="J202" s="225"/>
      <c r="M202" s="485"/>
    </row>
    <row r="203" spans="1:13" s="223" customFormat="1">
      <c r="A203" s="226"/>
      <c r="B203" s="223" t="s">
        <v>620</v>
      </c>
      <c r="M203" s="485"/>
    </row>
    <row r="204" spans="1:13" s="223" customFormat="1">
      <c r="A204" s="226"/>
      <c r="B204" s="339"/>
      <c r="M204" s="485"/>
    </row>
    <row r="207" spans="1:13" s="223" customFormat="1" ht="17.25">
      <c r="A207" s="226"/>
      <c r="I207" s="341"/>
      <c r="M207" s="485"/>
    </row>
    <row r="208" spans="1:13" s="223" customFormat="1">
      <c r="A208" s="226"/>
      <c r="G208" s="225"/>
      <c r="H208" s="225"/>
      <c r="I208" s="225"/>
      <c r="J208" s="225"/>
      <c r="M208" s="485"/>
    </row>
    <row r="210" spans="1:13" s="223" customFormat="1">
      <c r="A210" s="226"/>
      <c r="B210" s="339"/>
      <c r="M210" s="485"/>
    </row>
    <row r="211" spans="1:13" s="223" customFormat="1">
      <c r="A211" s="226"/>
      <c r="B211" s="339"/>
      <c r="M211" s="485"/>
    </row>
    <row r="212" spans="1:13" s="223" customFormat="1">
      <c r="A212" s="226"/>
      <c r="B212" s="339"/>
      <c r="M212" s="485"/>
    </row>
    <row r="213" spans="1:13" s="223" customFormat="1">
      <c r="A213" s="226"/>
      <c r="B213" s="339"/>
      <c r="M213" s="485"/>
    </row>
    <row r="215" spans="1:13" s="223" customFormat="1">
      <c r="A215" s="226"/>
      <c r="M215" s="485"/>
    </row>
    <row r="216" spans="1:13" s="223" customFormat="1">
      <c r="A216" s="365"/>
      <c r="B216" s="366"/>
      <c r="C216" s="265"/>
      <c r="D216" s="265"/>
      <c r="M216" s="485"/>
    </row>
    <row r="217" spans="1:13" s="223" customFormat="1">
      <c r="A217" s="367"/>
      <c r="B217" s="330"/>
      <c r="C217" s="265"/>
      <c r="D217" s="265"/>
      <c r="M217" s="485"/>
    </row>
    <row r="218" spans="1:13" s="223" customFormat="1">
      <c r="A218" s="367"/>
      <c r="B218" s="330"/>
      <c r="C218" s="265"/>
      <c r="D218" s="265"/>
      <c r="M218" s="485"/>
    </row>
    <row r="219" spans="1:13" s="223" customFormat="1">
      <c r="A219" s="367"/>
      <c r="B219" s="330"/>
      <c r="C219" s="265"/>
      <c r="D219" s="265"/>
      <c r="M219" s="485"/>
    </row>
    <row r="220" spans="1:13" s="223" customFormat="1">
      <c r="A220" s="367"/>
      <c r="B220" s="330"/>
      <c r="C220" s="265"/>
      <c r="D220" s="265"/>
      <c r="M220" s="485"/>
    </row>
    <row r="221" spans="1:13" s="223" customFormat="1">
      <c r="A221" s="367"/>
      <c r="B221" s="330"/>
      <c r="C221" s="265"/>
      <c r="D221" s="265"/>
      <c r="M221" s="485"/>
    </row>
    <row r="222" spans="1:13" s="223" customFormat="1">
      <c r="A222" s="367"/>
      <c r="B222" s="330"/>
      <c r="C222" s="265"/>
      <c r="D222" s="265"/>
      <c r="M222" s="485"/>
    </row>
    <row r="223" spans="1:13" s="223" customFormat="1">
      <c r="A223" s="367"/>
      <c r="B223" s="330"/>
      <c r="C223" s="265"/>
      <c r="D223" s="265"/>
      <c r="M223" s="485"/>
    </row>
    <row r="224" spans="1:13" s="223" customFormat="1" ht="17.25">
      <c r="A224" s="367"/>
      <c r="B224" s="330"/>
      <c r="C224" s="265"/>
      <c r="D224" s="265"/>
      <c r="I224" s="341"/>
      <c r="M224" s="485"/>
    </row>
    <row r="225" spans="1:13" s="223" customFormat="1">
      <c r="A225" s="367"/>
      <c r="B225" s="330"/>
      <c r="C225" s="265"/>
      <c r="D225" s="265"/>
      <c r="I225" s="368"/>
      <c r="J225" s="368"/>
      <c r="M225" s="485"/>
    </row>
    <row r="226" spans="1:13" s="223" customFormat="1">
      <c r="A226" s="367"/>
      <c r="B226" s="330"/>
      <c r="C226" s="265"/>
      <c r="D226" s="265"/>
      <c r="M226" s="485"/>
    </row>
    <row r="227" spans="1:13" s="223" customFormat="1">
      <c r="A227" s="367"/>
      <c r="B227" s="330"/>
      <c r="C227" s="265"/>
      <c r="D227" s="265"/>
      <c r="G227" s="369"/>
      <c r="H227" s="369"/>
      <c r="I227" s="369"/>
      <c r="J227" s="369"/>
      <c r="M227" s="485"/>
    </row>
    <row r="228" spans="1:13" s="223" customFormat="1">
      <c r="A228" s="367"/>
      <c r="B228" s="330"/>
      <c r="C228" s="265"/>
      <c r="D228" s="265"/>
      <c r="M228" s="485"/>
    </row>
    <row r="229" spans="1:13" s="223" customFormat="1">
      <c r="A229" s="367"/>
      <c r="B229" s="330"/>
      <c r="C229" s="265"/>
      <c r="D229" s="265"/>
      <c r="M229" s="485"/>
    </row>
    <row r="230" spans="1:13" s="223" customFormat="1">
      <c r="A230" s="367"/>
      <c r="B230" s="330"/>
      <c r="C230" s="265"/>
      <c r="D230" s="265"/>
      <c r="M230" s="485"/>
    </row>
    <row r="231" spans="1:13" s="223" customFormat="1">
      <c r="A231" s="367"/>
      <c r="B231" s="330"/>
      <c r="C231" s="265"/>
      <c r="D231" s="265"/>
      <c r="M231" s="485"/>
    </row>
    <row r="232" spans="1:13" s="223" customFormat="1">
      <c r="A232" s="367"/>
      <c r="B232" s="330"/>
      <c r="C232" s="265"/>
      <c r="D232" s="265"/>
      <c r="M232" s="485"/>
    </row>
    <row r="233" spans="1:13" s="223" customFormat="1">
      <c r="A233" s="367"/>
      <c r="B233" s="330"/>
      <c r="C233" s="265"/>
      <c r="D233" s="265"/>
      <c r="M233" s="485"/>
    </row>
    <row r="234" spans="1:13" s="223" customFormat="1" ht="17.25">
      <c r="A234" s="367"/>
      <c r="B234" s="330"/>
      <c r="C234" s="265"/>
      <c r="D234" s="265"/>
      <c r="I234" s="341"/>
      <c r="M234" s="485"/>
    </row>
    <row r="235" spans="1:13" s="223" customFormat="1">
      <c r="A235" s="367"/>
      <c r="B235" s="330"/>
      <c r="C235" s="265"/>
      <c r="D235" s="265"/>
      <c r="G235" s="233"/>
      <c r="H235" s="233"/>
      <c r="I235" s="369"/>
      <c r="J235" s="369"/>
      <c r="M235" s="485"/>
    </row>
    <row r="236" spans="1:13" s="223" customFormat="1">
      <c r="A236" s="367"/>
      <c r="B236" s="330"/>
      <c r="C236" s="265"/>
      <c r="D236" s="265"/>
      <c r="M236" s="485"/>
    </row>
    <row r="237" spans="1:13" s="223" customFormat="1">
      <c r="A237" s="367"/>
      <c r="B237" s="330"/>
      <c r="C237" s="265"/>
      <c r="D237" s="265"/>
      <c r="M237" s="485"/>
    </row>
    <row r="238" spans="1:13" s="223" customFormat="1">
      <c r="A238" s="367"/>
      <c r="B238" s="330"/>
      <c r="C238" s="265"/>
      <c r="D238" s="265"/>
      <c r="M238" s="485"/>
    </row>
    <row r="239" spans="1:13" s="223" customFormat="1">
      <c r="A239" s="367"/>
      <c r="B239" s="330"/>
      <c r="C239" s="265"/>
      <c r="D239" s="265"/>
      <c r="M239" s="485"/>
    </row>
    <row r="240" spans="1:13" s="223" customFormat="1">
      <c r="A240" s="367"/>
      <c r="B240" s="330"/>
      <c r="C240" s="265"/>
      <c r="D240" s="265"/>
      <c r="M240" s="485"/>
    </row>
    <row r="241" spans="1:13" s="223" customFormat="1" ht="17.25">
      <c r="A241" s="367"/>
      <c r="B241" s="330"/>
      <c r="C241" s="265"/>
      <c r="D241" s="265"/>
      <c r="I241" s="341"/>
      <c r="M241" s="485"/>
    </row>
    <row r="242" spans="1:13" s="223" customFormat="1">
      <c r="A242" s="367"/>
      <c r="B242" s="330"/>
      <c r="C242" s="265"/>
      <c r="D242" s="265"/>
      <c r="G242" s="233"/>
      <c r="H242" s="233"/>
      <c r="I242" s="369"/>
      <c r="J242" s="369"/>
      <c r="M242" s="485"/>
    </row>
    <row r="243" spans="1:13" s="223" customFormat="1">
      <c r="A243" s="367"/>
      <c r="B243" s="330"/>
      <c r="C243" s="265"/>
      <c r="D243" s="265"/>
      <c r="M243" s="485"/>
    </row>
    <row r="244" spans="1:13" s="223" customFormat="1">
      <c r="A244" s="226"/>
      <c r="B244" s="265"/>
      <c r="C244" s="265"/>
      <c r="D244" s="265"/>
      <c r="M244" s="485"/>
    </row>
    <row r="245" spans="1:13" s="223" customFormat="1">
      <c r="A245" s="226"/>
      <c r="I245" s="368"/>
      <c r="J245" s="368"/>
      <c r="M245" s="485"/>
    </row>
    <row r="246" spans="1:13" s="223" customFormat="1">
      <c r="A246" s="226"/>
      <c r="M246" s="485"/>
    </row>
    <row r="247" spans="1:13" s="223" customFormat="1">
      <c r="A247" s="226"/>
      <c r="M247" s="485"/>
    </row>
    <row r="248" spans="1:13" s="223" customFormat="1">
      <c r="A248" s="378"/>
      <c r="B248" s="366"/>
      <c r="C248" s="265"/>
      <c r="D248" s="265"/>
      <c r="E248" s="265"/>
      <c r="F248" s="265"/>
      <c r="M248" s="485"/>
    </row>
    <row r="249" spans="1:13" s="223" customFormat="1">
      <c r="A249" s="226"/>
      <c r="B249" s="330"/>
      <c r="C249" s="265"/>
      <c r="D249" s="265"/>
      <c r="E249" s="265"/>
      <c r="F249" s="265"/>
      <c r="M249" s="485"/>
    </row>
    <row r="250" spans="1:13" s="223" customFormat="1">
      <c r="A250" s="226"/>
      <c r="B250" s="343"/>
      <c r="C250" s="265"/>
      <c r="D250" s="265"/>
      <c r="E250" s="265"/>
      <c r="F250" s="265"/>
      <c r="M250" s="485"/>
    </row>
    <row r="251" spans="1:13" s="223" customFormat="1">
      <c r="A251" s="226"/>
      <c r="B251" s="330"/>
      <c r="C251" s="265"/>
      <c r="D251" s="265"/>
      <c r="E251" s="379"/>
      <c r="F251" s="380"/>
      <c r="G251" s="340"/>
      <c r="H251" s="340"/>
      <c r="J251" s="265"/>
      <c r="M251" s="485"/>
    </row>
    <row r="252" spans="1:13" s="223" customFormat="1">
      <c r="A252" s="226"/>
      <c r="B252" s="330"/>
      <c r="C252" s="265"/>
      <c r="D252" s="265"/>
      <c r="E252" s="379"/>
      <c r="F252" s="380"/>
      <c r="G252" s="340"/>
      <c r="H252" s="340"/>
      <c r="J252" s="265"/>
      <c r="M252" s="485"/>
    </row>
    <row r="253" spans="1:13" s="223" customFormat="1">
      <c r="A253" s="226"/>
      <c r="B253" s="330"/>
      <c r="C253" s="265"/>
      <c r="D253" s="265"/>
      <c r="E253" s="379"/>
      <c r="F253" s="380"/>
      <c r="G253" s="340"/>
      <c r="H253" s="340"/>
      <c r="I253" s="342"/>
      <c r="J253" s="265"/>
      <c r="M253" s="485"/>
    </row>
    <row r="254" spans="1:13" s="223" customFormat="1">
      <c r="A254" s="226"/>
      <c r="B254" s="330"/>
      <c r="C254" s="265"/>
      <c r="D254" s="265"/>
      <c r="E254" s="379"/>
      <c r="F254" s="380"/>
      <c r="G254" s="340"/>
      <c r="H254" s="340"/>
      <c r="J254" s="265"/>
      <c r="M254" s="485"/>
    </row>
    <row r="255" spans="1:13" s="223" customFormat="1">
      <c r="A255" s="226"/>
      <c r="B255" s="343"/>
      <c r="C255" s="265"/>
      <c r="D255" s="265"/>
      <c r="E255" s="265"/>
      <c r="J255" s="265"/>
      <c r="M255" s="485"/>
    </row>
    <row r="256" spans="1:13" s="223" customFormat="1" ht="17.25">
      <c r="A256" s="226"/>
      <c r="B256" s="330"/>
      <c r="C256" s="265"/>
      <c r="D256" s="265"/>
      <c r="E256" s="265"/>
      <c r="G256" s="340"/>
      <c r="H256" s="340"/>
      <c r="J256" s="264"/>
      <c r="M256" s="485"/>
    </row>
    <row r="257" spans="1:13" s="223" customFormat="1" ht="17.25">
      <c r="A257" s="226"/>
      <c r="B257" s="330"/>
      <c r="C257" s="265"/>
      <c r="D257" s="265"/>
      <c r="E257" s="265"/>
      <c r="G257" s="340"/>
      <c r="H257" s="340"/>
      <c r="J257" s="264"/>
      <c r="M257" s="485"/>
    </row>
    <row r="258" spans="1:13" s="223" customFormat="1">
      <c r="A258" s="226"/>
      <c r="B258" s="330"/>
      <c r="C258" s="265"/>
      <c r="D258" s="265"/>
      <c r="E258" s="265"/>
      <c r="G258" s="340"/>
      <c r="H258" s="340"/>
      <c r="J258" s="265"/>
      <c r="M258" s="485"/>
    </row>
    <row r="259" spans="1:13" s="223" customFormat="1" ht="17.25">
      <c r="A259" s="226"/>
      <c r="B259" s="330"/>
      <c r="C259" s="265"/>
      <c r="D259" s="265"/>
      <c r="E259" s="265"/>
      <c r="F259" s="265"/>
      <c r="G259" s="382"/>
      <c r="H259" s="382"/>
      <c r="M259" s="485"/>
    </row>
    <row r="260" spans="1:13" s="223" customFormat="1">
      <c r="A260" s="226"/>
      <c r="B260" s="330"/>
      <c r="C260" s="265"/>
      <c r="D260" s="265"/>
      <c r="E260" s="265"/>
      <c r="F260" s="265"/>
      <c r="G260" s="342"/>
      <c r="H260" s="342"/>
      <c r="I260" s="342"/>
      <c r="M260" s="485"/>
    </row>
    <row r="261" spans="1:13" s="223" customFormat="1">
      <c r="A261" s="226"/>
      <c r="B261" s="330"/>
      <c r="C261" s="265"/>
      <c r="D261" s="265"/>
      <c r="E261" s="265"/>
      <c r="F261" s="265"/>
      <c r="M261" s="485"/>
    </row>
    <row r="262" spans="1:13" s="223" customFormat="1">
      <c r="A262" s="226"/>
      <c r="B262" s="330"/>
      <c r="C262" s="265"/>
      <c r="D262" s="265"/>
      <c r="E262" s="265"/>
      <c r="F262" s="265"/>
      <c r="M262" s="485"/>
    </row>
    <row r="263" spans="1:13" s="223" customFormat="1">
      <c r="A263" s="226"/>
      <c r="B263" s="343"/>
      <c r="C263" s="265"/>
      <c r="D263" s="265"/>
      <c r="E263" s="265"/>
      <c r="F263" s="265"/>
      <c r="M263" s="485"/>
    </row>
    <row r="264" spans="1:13" s="223" customFormat="1">
      <c r="A264" s="226"/>
      <c r="B264" s="330"/>
      <c r="C264" s="265"/>
      <c r="D264" s="265"/>
      <c r="E264" s="265"/>
      <c r="F264" s="265"/>
      <c r="M264" s="485"/>
    </row>
    <row r="265" spans="1:13" s="223" customFormat="1">
      <c r="A265" s="226"/>
      <c r="B265" s="330"/>
      <c r="C265" s="265"/>
      <c r="D265" s="265"/>
      <c r="E265" s="265"/>
      <c r="F265" s="265"/>
      <c r="M265" s="485"/>
    </row>
    <row r="266" spans="1:13" s="223" customFormat="1">
      <c r="A266" s="367"/>
      <c r="B266" s="330"/>
      <c r="K266" s="225"/>
      <c r="M266" s="485"/>
    </row>
    <row r="267" spans="1:13" s="223" customFormat="1">
      <c r="A267" s="367"/>
      <c r="B267" s="330"/>
      <c r="M267" s="485"/>
    </row>
    <row r="268" spans="1:13" s="223" customFormat="1">
      <c r="A268" s="367"/>
      <c r="B268" s="330"/>
      <c r="M268" s="485"/>
    </row>
    <row r="269" spans="1:13" s="223" customFormat="1">
      <c r="A269" s="367"/>
      <c r="B269" s="330"/>
      <c r="I269" s="340"/>
      <c r="J269" s="340"/>
      <c r="K269" s="340"/>
      <c r="M269" s="485"/>
    </row>
    <row r="270" spans="1:13" s="223" customFormat="1">
      <c r="A270" s="367"/>
      <c r="B270" s="330"/>
      <c r="I270" s="392"/>
      <c r="J270" s="392"/>
      <c r="K270" s="340"/>
      <c r="M270" s="485"/>
    </row>
    <row r="271" spans="1:13" s="223" customFormat="1" ht="17.25">
      <c r="A271" s="367"/>
      <c r="B271" s="330"/>
      <c r="J271" s="368"/>
      <c r="K271" s="382"/>
      <c r="M271" s="485"/>
    </row>
    <row r="272" spans="1:13" s="223" customFormat="1">
      <c r="A272" s="367"/>
      <c r="K272" s="225"/>
      <c r="M272" s="485"/>
    </row>
    <row r="273" spans="1:13" s="223" customFormat="1">
      <c r="A273" s="367"/>
      <c r="B273" s="330"/>
      <c r="K273" s="368"/>
      <c r="M273" s="485"/>
    </row>
    <row r="274" spans="1:13" s="223" customFormat="1">
      <c r="A274" s="367"/>
      <c r="B274" s="330"/>
      <c r="K274" s="368"/>
      <c r="M274" s="485"/>
    </row>
    <row r="275" spans="1:13" s="223" customFormat="1">
      <c r="A275" s="367"/>
      <c r="B275" s="330"/>
      <c r="K275" s="368"/>
      <c r="M275" s="485"/>
    </row>
    <row r="276" spans="1:13" s="223" customFormat="1">
      <c r="A276" s="367"/>
      <c r="B276" s="330"/>
      <c r="K276" s="368"/>
      <c r="M276" s="485"/>
    </row>
    <row r="277" spans="1:13" s="223" customFormat="1">
      <c r="A277" s="367"/>
      <c r="B277" s="330"/>
      <c r="K277" s="368"/>
      <c r="M277" s="485"/>
    </row>
    <row r="278" spans="1:13" s="223" customFormat="1">
      <c r="A278" s="367"/>
      <c r="B278" s="330"/>
      <c r="M278" s="485"/>
    </row>
    <row r="279" spans="1:13" s="223" customFormat="1">
      <c r="A279" s="367"/>
      <c r="B279" s="330"/>
      <c r="M279" s="485"/>
    </row>
    <row r="280" spans="1:13" s="223" customFormat="1">
      <c r="A280" s="367"/>
      <c r="B280" s="343"/>
      <c r="M280" s="485"/>
    </row>
    <row r="281" spans="1:13">
      <c r="A281" s="367"/>
      <c r="B281" s="330"/>
    </row>
    <row r="282" spans="1:13" ht="17.25">
      <c r="A282" s="367"/>
      <c r="B282" s="330"/>
      <c r="J282" s="341"/>
    </row>
    <row r="283" spans="1:13">
      <c r="A283" s="367"/>
      <c r="B283" s="330"/>
      <c r="J283" s="368"/>
    </row>
    <row r="284" spans="1:13">
      <c r="A284" s="367"/>
      <c r="B284" s="330"/>
    </row>
    <row r="285" spans="1:13">
      <c r="A285" s="367"/>
      <c r="B285" s="330"/>
    </row>
    <row r="286" spans="1:13">
      <c r="A286" s="367"/>
      <c r="B286" s="330"/>
      <c r="J286" s="225"/>
      <c r="K286" s="225"/>
      <c r="L286" s="225"/>
      <c r="M286" s="557"/>
    </row>
    <row r="287" spans="1:13">
      <c r="A287" s="367"/>
      <c r="B287" s="343"/>
    </row>
    <row r="288" spans="1:13">
      <c r="A288" s="367"/>
      <c r="B288" s="330"/>
    </row>
    <row r="289" spans="2:13">
      <c r="B289" s="330"/>
    </row>
    <row r="290" spans="2:13">
      <c r="B290" s="330"/>
    </row>
    <row r="291" spans="2:13">
      <c r="B291" s="330"/>
      <c r="J291" s="225"/>
      <c r="K291" s="225"/>
      <c r="L291" s="225"/>
      <c r="M291" s="557"/>
    </row>
    <row r="295" spans="2:13" ht="17.25">
      <c r="K295" s="341"/>
    </row>
    <row r="297" spans="2:13">
      <c r="J297" s="225"/>
      <c r="K297" s="225"/>
    </row>
    <row r="302" spans="2:13" ht="17.25">
      <c r="K302" s="341"/>
    </row>
    <row r="303" spans="2:13">
      <c r="J303" s="225"/>
      <c r="K303" s="225"/>
    </row>
    <row r="304" spans="2:13">
      <c r="I304" s="412"/>
      <c r="J304" s="413"/>
      <c r="K304" s="412"/>
      <c r="L304" s="413"/>
    </row>
    <row r="306" spans="9:13">
      <c r="J306" s="225"/>
    </row>
    <row r="309" spans="9:13" ht="17.25">
      <c r="K309" s="341"/>
    </row>
    <row r="310" spans="9:13">
      <c r="J310" s="225"/>
      <c r="K310" s="225"/>
    </row>
    <row r="311" spans="9:13">
      <c r="I311" s="412"/>
      <c r="J311" s="413"/>
      <c r="K311" s="412"/>
      <c r="L311" s="412"/>
      <c r="M311" s="557"/>
    </row>
    <row r="315" spans="9:13">
      <c r="J315" s="225"/>
    </row>
    <row r="316" spans="9:13" ht="17.25">
      <c r="J316" s="225"/>
      <c r="K316" s="341"/>
    </row>
    <row r="317" spans="9:13">
      <c r="J317" s="225"/>
      <c r="K317" s="225"/>
    </row>
    <row r="320" spans="9:13" ht="17.25">
      <c r="K320" s="341"/>
    </row>
    <row r="321" spans="9:13">
      <c r="J321" s="225"/>
      <c r="K321" s="225"/>
    </row>
    <row r="322" spans="9:13">
      <c r="I322" s="412"/>
      <c r="J322" s="413"/>
      <c r="K322" s="412"/>
      <c r="L322" s="412"/>
      <c r="M322" s="557"/>
    </row>
    <row r="324" spans="9:13">
      <c r="J324" s="225"/>
    </row>
    <row r="325" spans="9:13">
      <c r="J325" s="225"/>
    </row>
    <row r="326" spans="9:13">
      <c r="J326" s="225"/>
      <c r="K326" s="225"/>
    </row>
    <row r="328" spans="9:13" ht="17.25">
      <c r="K328" s="341"/>
    </row>
    <row r="329" spans="9:13">
      <c r="J329" s="225"/>
      <c r="K329" s="225"/>
    </row>
    <row r="330" spans="9:13">
      <c r="I330" s="412"/>
      <c r="J330" s="413"/>
      <c r="K330" s="412"/>
      <c r="L330" s="412"/>
      <c r="M330" s="557"/>
    </row>
  </sheetData>
  <mergeCells count="3">
    <mergeCell ref="C186:F186"/>
    <mergeCell ref="C201:F201"/>
    <mergeCell ref="C57:F57"/>
  </mergeCells>
  <pageMargins left="0.69930555555555596" right="0.69930555555555596" top="0.75" bottom="0.75" header="0.3" footer="0.3"/>
  <pageSetup paperSize="9" orientation="portrait" verticalDpi="300" r:id="rId1"/>
  <headerFooter alignWithMargins="0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279355-688C-40F4-8255-35DDC8E6F839}">
  <dimension ref="A1:O311"/>
  <sheetViews>
    <sheetView workbookViewId="0">
      <selection activeCell="J22" sqref="J22"/>
    </sheetView>
  </sheetViews>
  <sheetFormatPr defaultColWidth="9" defaultRowHeight="15"/>
  <cols>
    <col min="1" max="1" width="6.7109375" style="226" customWidth="1"/>
    <col min="2" max="2" width="10.5703125" style="223" customWidth="1"/>
    <col min="3" max="3" width="21.85546875" style="223" customWidth="1"/>
    <col min="4" max="5" width="9" style="223"/>
    <col min="6" max="6" width="10" style="223" bestFit="1" customWidth="1"/>
    <col min="7" max="7" width="10" style="223" customWidth="1"/>
    <col min="8" max="8" width="11" style="223" customWidth="1"/>
    <col min="9" max="9" width="11.28515625" style="223" customWidth="1"/>
    <col min="10" max="10" width="23.42578125" style="223" customWidth="1"/>
    <col min="11" max="11" width="9" style="223"/>
    <col min="12" max="12" width="5.7109375" style="485" customWidth="1"/>
    <col min="13" max="13" width="14.85546875" style="226" customWidth="1"/>
    <col min="14" max="14" width="11" style="226" customWidth="1"/>
    <col min="15" max="15" width="12.5703125" style="226" customWidth="1"/>
    <col min="16" max="16384" width="9" style="226"/>
  </cols>
  <sheetData>
    <row r="1" spans="1:15">
      <c r="A1" s="222" t="s">
        <v>188</v>
      </c>
    </row>
    <row r="2" spans="1:15" ht="18">
      <c r="A2" s="222"/>
      <c r="J2" s="257" t="s">
        <v>771</v>
      </c>
      <c r="K2" s="258">
        <f>1*0.15*0.2</f>
        <v>0.03</v>
      </c>
      <c r="L2" s="259" t="s">
        <v>215</v>
      </c>
      <c r="M2" s="260"/>
      <c r="N2" s="261"/>
      <c r="O2" s="284"/>
    </row>
    <row r="3" spans="1:15" ht="15.75">
      <c r="A3" s="222"/>
      <c r="J3" s="266" t="s">
        <v>234</v>
      </c>
      <c r="K3" s="267"/>
      <c r="L3" s="268"/>
      <c r="M3" s="269"/>
      <c r="N3" s="269"/>
      <c r="O3" s="284"/>
    </row>
    <row r="4" spans="1:15" ht="15.75">
      <c r="A4" s="224" t="s">
        <v>11</v>
      </c>
      <c r="B4" s="225" t="s">
        <v>190</v>
      </c>
      <c r="J4" s="266" t="s">
        <v>219</v>
      </c>
      <c r="K4" s="267">
        <f>K2*6</f>
        <v>0.18</v>
      </c>
      <c r="L4" s="268" t="s">
        <v>220</v>
      </c>
      <c r="M4" s="269">
        <v>55000</v>
      </c>
      <c r="N4" s="269">
        <f t="shared" ref="N4:N15" si="0">M4*K4</f>
        <v>9900</v>
      </c>
      <c r="O4" s="284"/>
    </row>
    <row r="5" spans="1:15" ht="18">
      <c r="B5" s="223">
        <v>2</v>
      </c>
      <c r="C5" s="225">
        <v>12</v>
      </c>
      <c r="D5" s="223">
        <f>C5*B5</f>
        <v>24</v>
      </c>
      <c r="J5" s="266" t="s">
        <v>222</v>
      </c>
      <c r="K5" s="267">
        <f>K2*0.54</f>
        <v>1.6199999999999999E-2</v>
      </c>
      <c r="L5" s="268" t="s">
        <v>215</v>
      </c>
      <c r="M5" s="269">
        <v>380000</v>
      </c>
      <c r="N5" s="269">
        <f t="shared" si="0"/>
        <v>6156</v>
      </c>
      <c r="O5" s="284"/>
    </row>
    <row r="6" spans="1:15" ht="18">
      <c r="B6" s="223">
        <v>2</v>
      </c>
      <c r="C6" s="225">
        <v>20</v>
      </c>
      <c r="D6" s="223">
        <f>C6*B6</f>
        <v>40</v>
      </c>
      <c r="J6" s="266" t="s">
        <v>224</v>
      </c>
      <c r="K6" s="267">
        <f>K2*0.82</f>
        <v>2.4599999999999997E-2</v>
      </c>
      <c r="L6" s="268" t="s">
        <v>215</v>
      </c>
      <c r="M6" s="269">
        <v>280000</v>
      </c>
      <c r="N6" s="269">
        <f t="shared" si="0"/>
        <v>6887.9999999999991</v>
      </c>
      <c r="O6" s="284"/>
    </row>
    <row r="7" spans="1:15" ht="15.75">
      <c r="C7" s="225"/>
      <c r="E7" s="227">
        <f>SUM(D5:D6)</f>
        <v>64</v>
      </c>
      <c r="J7" s="266" t="s">
        <v>313</v>
      </c>
      <c r="K7" s="267">
        <f>4/12</f>
        <v>0.33333333333333331</v>
      </c>
      <c r="L7" s="268" t="s">
        <v>20</v>
      </c>
      <c r="M7" s="269">
        <v>100000</v>
      </c>
      <c r="N7" s="269">
        <f t="shared" si="0"/>
        <v>33333.333333333328</v>
      </c>
      <c r="O7" s="284"/>
    </row>
    <row r="8" spans="1:15" ht="18">
      <c r="A8" s="224" t="s">
        <v>12</v>
      </c>
      <c r="B8" s="228" t="s">
        <v>191</v>
      </c>
      <c r="C8" s="229"/>
      <c r="J8" s="266" t="s">
        <v>239</v>
      </c>
      <c r="K8" s="267">
        <v>0.3</v>
      </c>
      <c r="L8" s="268" t="s">
        <v>20</v>
      </c>
      <c r="M8" s="269">
        <v>42000</v>
      </c>
      <c r="N8" s="269">
        <f t="shared" si="0"/>
        <v>12600</v>
      </c>
      <c r="O8" s="284"/>
    </row>
    <row r="9" spans="1:15" ht="15.75">
      <c r="J9" s="266" t="s">
        <v>240</v>
      </c>
      <c r="K9" s="267">
        <v>0.3</v>
      </c>
      <c r="L9" s="268" t="s">
        <v>241</v>
      </c>
      <c r="M9" s="269">
        <v>100000</v>
      </c>
      <c r="N9" s="269">
        <f t="shared" si="0"/>
        <v>30000</v>
      </c>
      <c r="O9" s="284"/>
    </row>
    <row r="10" spans="1:15" ht="15.75">
      <c r="A10" s="226">
        <v>1</v>
      </c>
      <c r="B10" s="223" t="s">
        <v>192</v>
      </c>
      <c r="F10" s="223" t="s">
        <v>414</v>
      </c>
      <c r="J10" s="266" t="s">
        <v>242</v>
      </c>
      <c r="K10" s="267">
        <f>K2*2.5</f>
        <v>7.4999999999999997E-2</v>
      </c>
      <c r="L10" s="268" t="s">
        <v>17</v>
      </c>
      <c r="M10" s="269">
        <v>20000</v>
      </c>
      <c r="N10" s="269">
        <f t="shared" si="0"/>
        <v>1500</v>
      </c>
      <c r="O10" s="284"/>
    </row>
    <row r="11" spans="1:15" ht="15.75">
      <c r="D11" s="230" t="s">
        <v>193</v>
      </c>
      <c r="E11" s="230" t="s">
        <v>194</v>
      </c>
      <c r="F11" s="230" t="s">
        <v>195</v>
      </c>
      <c r="G11" s="230"/>
      <c r="H11" s="230"/>
      <c r="J11" s="266" t="s">
        <v>243</v>
      </c>
      <c r="K11" s="267">
        <v>0.02</v>
      </c>
      <c r="L11" s="268" t="s">
        <v>15</v>
      </c>
      <c r="M11" s="269">
        <v>2500000</v>
      </c>
      <c r="N11" s="269">
        <f t="shared" si="0"/>
        <v>50000</v>
      </c>
      <c r="O11" s="284"/>
    </row>
    <row r="12" spans="1:15" ht="15.75">
      <c r="B12" s="810" t="s">
        <v>770</v>
      </c>
      <c r="C12" s="232"/>
      <c r="D12" s="486">
        <v>8</v>
      </c>
      <c r="E12" s="223">
        <v>0.6</v>
      </c>
      <c r="F12" s="304">
        <v>0.6</v>
      </c>
      <c r="J12" s="266" t="s">
        <v>244</v>
      </c>
      <c r="K12" s="267">
        <f>K2*2</f>
        <v>0.06</v>
      </c>
      <c r="L12" s="268" t="s">
        <v>17</v>
      </c>
      <c r="M12" s="269">
        <v>18000</v>
      </c>
      <c r="N12" s="269">
        <f t="shared" si="0"/>
        <v>1080</v>
      </c>
      <c r="O12" s="284"/>
    </row>
    <row r="13" spans="1:15" ht="15.75">
      <c r="B13" s="231"/>
      <c r="C13" s="232"/>
      <c r="D13" s="486">
        <v>4</v>
      </c>
      <c r="F13" s="304"/>
      <c r="J13" s="266" t="s">
        <v>245</v>
      </c>
      <c r="K13" s="280">
        <f>0.3*0.12*3</f>
        <v>0.10799999999999998</v>
      </c>
      <c r="L13" s="281" t="s">
        <v>14</v>
      </c>
      <c r="M13" s="282">
        <v>20000</v>
      </c>
      <c r="N13" s="282">
        <f t="shared" si="0"/>
        <v>2159.9999999999995</v>
      </c>
      <c r="O13" s="284"/>
    </row>
    <row r="14" spans="1:15" ht="15.75">
      <c r="B14" s="231"/>
      <c r="C14" s="232"/>
      <c r="D14" s="486">
        <v>8</v>
      </c>
      <c r="F14" s="304"/>
      <c r="J14" s="266" t="s">
        <v>228</v>
      </c>
      <c r="K14" s="280">
        <f>(7.4*K7)+(4.73*K8)</f>
        <v>3.8856666666666668</v>
      </c>
      <c r="L14" s="281" t="s">
        <v>17</v>
      </c>
      <c r="M14" s="292">
        <v>3000</v>
      </c>
      <c r="N14" s="282">
        <f t="shared" si="0"/>
        <v>11657</v>
      </c>
      <c r="O14" s="284"/>
    </row>
    <row r="15" spans="1:15" ht="18">
      <c r="B15" s="231"/>
      <c r="C15" s="232"/>
      <c r="D15" s="486"/>
      <c r="J15" s="279" t="s">
        <v>229</v>
      </c>
      <c r="K15" s="280">
        <f>K2*1</f>
        <v>0.03</v>
      </c>
      <c r="L15" s="281" t="s">
        <v>215</v>
      </c>
      <c r="M15" s="292">
        <v>300000</v>
      </c>
      <c r="N15" s="282">
        <f t="shared" si="0"/>
        <v>9000</v>
      </c>
      <c r="O15" s="284"/>
    </row>
    <row r="16" spans="1:15" s="223" customFormat="1" ht="15.75">
      <c r="A16" s="226"/>
      <c r="B16" s="810" t="s">
        <v>769</v>
      </c>
      <c r="C16" s="232"/>
      <c r="D16" s="487">
        <v>4</v>
      </c>
      <c r="J16" s="1146" t="s">
        <v>246</v>
      </c>
      <c r="K16" s="1147"/>
      <c r="L16" s="1147"/>
      <c r="M16" s="1147"/>
      <c r="N16" s="294">
        <f>SUM(N4:N15)</f>
        <v>174274.33333333331</v>
      </c>
      <c r="O16" s="284">
        <f>N16/K2</f>
        <v>5809144.444444444</v>
      </c>
    </row>
    <row r="17" spans="1:12" s="223" customFormat="1">
      <c r="A17" s="226"/>
      <c r="B17" s="254"/>
      <c r="C17" s="232"/>
      <c r="D17" s="486">
        <v>4</v>
      </c>
      <c r="F17" s="304"/>
      <c r="L17" s="485"/>
    </row>
    <row r="18" spans="1:12" s="223" customFormat="1">
      <c r="A18" s="226"/>
      <c r="B18" s="254"/>
      <c r="C18" s="232"/>
      <c r="D18" s="487">
        <v>4</v>
      </c>
      <c r="F18" s="488"/>
      <c r="L18" s="485"/>
    </row>
    <row r="19" spans="1:12" s="223" customFormat="1">
      <c r="A19" s="226"/>
      <c r="B19" s="254"/>
      <c r="C19" s="232"/>
      <c r="D19" s="223">
        <v>2</v>
      </c>
      <c r="L19" s="485"/>
    </row>
    <row r="20" spans="1:12" s="223" customFormat="1">
      <c r="A20" s="226"/>
      <c r="B20" s="254"/>
      <c r="C20" s="232"/>
      <c r="D20" s="223">
        <v>4</v>
      </c>
      <c r="E20" s="232"/>
      <c r="F20" s="488"/>
      <c r="L20" s="485"/>
    </row>
    <row r="21" spans="1:12" s="223" customFormat="1">
      <c r="A21" s="226"/>
      <c r="B21" s="254"/>
      <c r="C21" s="232"/>
      <c r="F21" s="488"/>
      <c r="L21" s="485"/>
    </row>
    <row r="22" spans="1:12" s="223" customFormat="1">
      <c r="A22" s="226"/>
      <c r="B22" s="254"/>
      <c r="C22" s="232" t="s">
        <v>768</v>
      </c>
      <c r="D22" s="223">
        <f>SUM(D12:D21)</f>
        <v>38</v>
      </c>
      <c r="E22" s="223">
        <v>0.6</v>
      </c>
      <c r="F22" s="488">
        <v>0.6</v>
      </c>
      <c r="G22" s="223">
        <f>F22*E22*D22</f>
        <v>13.68</v>
      </c>
      <c r="L22" s="485"/>
    </row>
    <row r="23" spans="1:12" s="223" customFormat="1">
      <c r="A23" s="226"/>
      <c r="B23" s="245"/>
      <c r="C23" s="232" t="s">
        <v>767</v>
      </c>
      <c r="D23" s="223">
        <f>D22</f>
        <v>38</v>
      </c>
      <c r="E23" s="223">
        <f>E22</f>
        <v>0.6</v>
      </c>
      <c r="F23" s="488">
        <v>0.4</v>
      </c>
      <c r="G23" s="223">
        <f>F23*E23*D23</f>
        <v>9.1199999999999992</v>
      </c>
      <c r="L23" s="485"/>
    </row>
    <row r="24" spans="1:12" s="223" customFormat="1">
      <c r="A24" s="226"/>
      <c r="B24" s="245"/>
      <c r="C24" s="232" t="s">
        <v>766</v>
      </c>
      <c r="D24" s="223">
        <f>D23</f>
        <v>38</v>
      </c>
      <c r="E24" s="223">
        <v>0.15</v>
      </c>
      <c r="F24" s="488">
        <v>0.2</v>
      </c>
      <c r="G24" s="223">
        <f>F24*E24*D24</f>
        <v>1.1399999999999999</v>
      </c>
      <c r="L24" s="485"/>
    </row>
    <row r="25" spans="1:12" s="223" customFormat="1">
      <c r="A25" s="226"/>
      <c r="B25" s="245"/>
      <c r="C25" s="232" t="s">
        <v>765</v>
      </c>
      <c r="D25" s="223">
        <v>0.15</v>
      </c>
      <c r="E25" s="223">
        <v>0.15</v>
      </c>
      <c r="F25" s="488">
        <v>3</v>
      </c>
      <c r="G25" s="223">
        <v>14</v>
      </c>
      <c r="H25" s="223">
        <f>G25*F25*E25*D25</f>
        <v>0.94499999999999995</v>
      </c>
      <c r="L25" s="485"/>
    </row>
    <row r="26" spans="1:12" s="223" customFormat="1">
      <c r="A26" s="226"/>
      <c r="B26" s="245"/>
      <c r="C26" s="232" t="s">
        <v>764</v>
      </c>
      <c r="D26" s="223">
        <f>D24</f>
        <v>38</v>
      </c>
      <c r="E26" s="223">
        <v>0.15</v>
      </c>
      <c r="F26" s="488">
        <v>0.15</v>
      </c>
      <c r="G26" s="223">
        <v>1</v>
      </c>
      <c r="H26" s="223">
        <f>G26*F26*E26*D26</f>
        <v>0.85499999999999998</v>
      </c>
      <c r="L26" s="485"/>
    </row>
    <row r="27" spans="1:12" s="223" customFormat="1">
      <c r="A27" s="226"/>
      <c r="B27" s="245"/>
      <c r="C27" s="232"/>
      <c r="L27" s="485"/>
    </row>
    <row r="28" spans="1:12" s="223" customFormat="1" ht="21.75" customHeight="1">
      <c r="A28" s="226"/>
      <c r="B28" s="254"/>
      <c r="C28" s="232" t="s">
        <v>763</v>
      </c>
      <c r="D28" s="223">
        <v>1.7</v>
      </c>
      <c r="E28" s="223">
        <v>3</v>
      </c>
      <c r="F28" s="223">
        <f>E28*D28</f>
        <v>5.0999999999999996</v>
      </c>
      <c r="G28" s="223" t="s">
        <v>730</v>
      </c>
      <c r="H28" s="223">
        <v>0.5</v>
      </c>
      <c r="I28" s="223">
        <v>2</v>
      </c>
      <c r="J28" s="223">
        <f>I28*H28</f>
        <v>1</v>
      </c>
      <c r="L28" s="485"/>
    </row>
    <row r="29" spans="1:12" s="223" customFormat="1" ht="21.75" customHeight="1">
      <c r="A29" s="226"/>
      <c r="B29" s="254"/>
      <c r="C29" s="232"/>
      <c r="D29" s="223">
        <v>2</v>
      </c>
      <c r="E29" s="223">
        <v>3</v>
      </c>
      <c r="F29" s="223">
        <f>E29*D29</f>
        <v>6</v>
      </c>
      <c r="H29" s="223">
        <v>1.2</v>
      </c>
      <c r="I29" s="223">
        <v>2</v>
      </c>
      <c r="J29" s="223">
        <f>I29*H29</f>
        <v>2.4</v>
      </c>
      <c r="L29" s="485"/>
    </row>
    <row r="30" spans="1:12" s="223" customFormat="1" ht="21.75" customHeight="1">
      <c r="A30" s="226"/>
      <c r="B30" s="254"/>
      <c r="C30" s="232"/>
      <c r="F30" s="223">
        <f>SUM(F28:F29)</f>
        <v>11.1</v>
      </c>
      <c r="G30" s="223" t="s">
        <v>254</v>
      </c>
      <c r="J30" s="223">
        <f>SUM(J28:J29)</f>
        <v>3.4</v>
      </c>
      <c r="K30" s="223" t="s">
        <v>14</v>
      </c>
      <c r="L30" s="485"/>
    </row>
    <row r="31" spans="1:12" s="223" customFormat="1" ht="21.75" customHeight="1">
      <c r="A31" s="226"/>
      <c r="B31" s="245"/>
      <c r="C31" s="232"/>
      <c r="E31" s="235"/>
      <c r="L31" s="485"/>
    </row>
    <row r="32" spans="1:12" s="223" customFormat="1" ht="21.75" customHeight="1">
      <c r="A32" s="226"/>
      <c r="B32" s="245"/>
      <c r="C32" s="232" t="s">
        <v>762</v>
      </c>
      <c r="D32" s="223">
        <v>1.6</v>
      </c>
      <c r="E32" s="312">
        <v>2</v>
      </c>
      <c r="F32" s="320">
        <f>E32*D32</f>
        <v>3.2</v>
      </c>
      <c r="G32" s="320" t="s">
        <v>730</v>
      </c>
      <c r="H32" s="312">
        <v>0.5</v>
      </c>
      <c r="I32" s="223">
        <v>1.6</v>
      </c>
      <c r="J32" s="223">
        <v>4</v>
      </c>
      <c r="K32" s="223">
        <f>J32*I32*H32</f>
        <v>3.2</v>
      </c>
      <c r="L32" s="485" t="s">
        <v>14</v>
      </c>
    </row>
    <row r="33" spans="1:12" s="223" customFormat="1" ht="15.75">
      <c r="A33" s="226"/>
      <c r="B33" s="245"/>
      <c r="C33" s="232"/>
      <c r="D33" s="223">
        <v>0.5</v>
      </c>
      <c r="E33" s="312">
        <v>2</v>
      </c>
      <c r="F33" s="320">
        <f>E33*D33</f>
        <v>1</v>
      </c>
      <c r="G33" s="320"/>
      <c r="H33" s="312"/>
      <c r="L33" s="485"/>
    </row>
    <row r="34" spans="1:12" s="223" customFormat="1" ht="15.75">
      <c r="A34" s="226"/>
      <c r="B34" s="245"/>
      <c r="C34" s="232"/>
      <c r="E34" s="312"/>
      <c r="F34" s="320">
        <f>SUM(F32:F33)</f>
        <v>4.2</v>
      </c>
      <c r="G34" s="320">
        <v>4</v>
      </c>
      <c r="H34" s="312">
        <f>G34*F34</f>
        <v>16.8</v>
      </c>
      <c r="I34" s="223" t="s">
        <v>254</v>
      </c>
      <c r="L34" s="485"/>
    </row>
    <row r="35" spans="1:12" s="223" customFormat="1" ht="15.75">
      <c r="A35" s="226"/>
      <c r="B35" s="245"/>
      <c r="E35" s="312"/>
      <c r="F35" s="320"/>
      <c r="G35" s="320"/>
      <c r="H35" s="312"/>
      <c r="L35" s="485"/>
    </row>
    <row r="36" spans="1:12" s="223" customFormat="1" ht="15.75">
      <c r="A36" s="226"/>
      <c r="B36" s="245"/>
      <c r="C36" s="232" t="s">
        <v>414</v>
      </c>
      <c r="D36" s="223">
        <f>D24</f>
        <v>38</v>
      </c>
      <c r="E36" s="312">
        <v>3</v>
      </c>
      <c r="F36" s="320">
        <f>E36*D36</f>
        <v>114</v>
      </c>
      <c r="G36" s="320"/>
      <c r="H36" s="312"/>
      <c r="L36" s="485"/>
    </row>
    <row r="37" spans="1:12" s="223" customFormat="1" ht="15.75">
      <c r="A37" s="226"/>
      <c r="B37" s="245"/>
      <c r="C37" s="232"/>
      <c r="D37" s="223">
        <v>24</v>
      </c>
      <c r="E37" s="312">
        <v>1</v>
      </c>
      <c r="F37" s="320">
        <f>E37*D37</f>
        <v>24</v>
      </c>
      <c r="G37" s="320"/>
      <c r="H37" s="312"/>
      <c r="L37" s="485"/>
    </row>
    <row r="38" spans="1:12" s="223" customFormat="1" ht="15.75">
      <c r="A38" s="226"/>
      <c r="B38" s="245"/>
      <c r="C38" s="232" t="s">
        <v>761</v>
      </c>
      <c r="E38" s="312"/>
      <c r="F38" s="320">
        <f>F36-F37</f>
        <v>90</v>
      </c>
      <c r="G38" s="320">
        <f>K32</f>
        <v>3.2</v>
      </c>
      <c r="H38" s="312">
        <f>J30</f>
        <v>3.4</v>
      </c>
      <c r="I38" s="227">
        <f>F38-G38-H38</f>
        <v>83.399999999999991</v>
      </c>
      <c r="J38" s="223" t="s">
        <v>14</v>
      </c>
      <c r="L38" s="485"/>
    </row>
    <row r="39" spans="1:12" s="223" customFormat="1" ht="15.75">
      <c r="A39" s="226"/>
      <c r="B39" s="245"/>
      <c r="C39" s="232"/>
      <c r="E39" s="235"/>
      <c r="H39" s="235"/>
      <c r="L39" s="485"/>
    </row>
    <row r="40" spans="1:12" s="223" customFormat="1" ht="15.75">
      <c r="A40" s="226"/>
      <c r="B40" s="245"/>
      <c r="C40" s="232"/>
      <c r="E40" s="235"/>
      <c r="G40" s="312"/>
      <c r="H40" s="312"/>
      <c r="L40" s="485"/>
    </row>
    <row r="41" spans="1:12" s="223" customFormat="1" ht="15.75">
      <c r="A41" s="226"/>
      <c r="B41" s="245"/>
      <c r="C41" s="232"/>
      <c r="E41" s="235"/>
      <c r="G41" s="312"/>
      <c r="H41" s="312"/>
      <c r="L41" s="485"/>
    </row>
    <row r="42" spans="1:12" s="223" customFormat="1" ht="15.75">
      <c r="A42" s="226"/>
      <c r="B42" s="245"/>
      <c r="C42" s="232"/>
      <c r="E42" s="235"/>
      <c r="G42" s="312"/>
      <c r="H42" s="312"/>
      <c r="L42" s="485"/>
    </row>
    <row r="43" spans="1:12" s="223" customFormat="1" ht="15.75">
      <c r="A43" s="226"/>
      <c r="B43" s="245"/>
      <c r="E43" s="235"/>
      <c r="G43" s="312"/>
      <c r="H43" s="312"/>
      <c r="L43" s="485"/>
    </row>
    <row r="44" spans="1:12" s="223" customFormat="1" ht="15.75">
      <c r="A44" s="226"/>
      <c r="B44" s="245"/>
      <c r="C44" s="232"/>
      <c r="E44" s="235"/>
      <c r="G44" s="312"/>
      <c r="H44" s="235"/>
      <c r="L44" s="485"/>
    </row>
    <row r="45" spans="1:12" s="223" customFormat="1" ht="15.75">
      <c r="A45" s="226"/>
      <c r="B45" s="245"/>
      <c r="C45" s="232"/>
      <c r="E45" s="235"/>
      <c r="G45" s="235"/>
      <c r="H45" s="235"/>
      <c r="L45" s="485"/>
    </row>
    <row r="46" spans="1:12" s="223" customFormat="1" ht="15.75">
      <c r="A46" s="489"/>
      <c r="B46" s="245"/>
      <c r="C46" s="232"/>
      <c r="E46" s="235"/>
      <c r="G46" s="235"/>
      <c r="H46" s="235"/>
      <c r="L46" s="485"/>
    </row>
    <row r="47" spans="1:12" s="223" customFormat="1" ht="15.75">
      <c r="A47" s="226"/>
      <c r="B47" s="245"/>
      <c r="C47" s="232"/>
      <c r="E47" s="312"/>
      <c r="G47" s="312"/>
      <c r="H47" s="312"/>
      <c r="L47" s="485"/>
    </row>
    <row r="48" spans="1:12" s="223" customFormat="1" ht="15.75">
      <c r="A48" s="226"/>
      <c r="B48" s="245"/>
      <c r="C48" s="232"/>
      <c r="E48" s="312"/>
      <c r="G48" s="312"/>
      <c r="H48" s="312"/>
      <c r="L48" s="485"/>
    </row>
    <row r="49" spans="1:12" s="223" customFormat="1" ht="15.75">
      <c r="A49" s="226"/>
      <c r="B49" s="245"/>
      <c r="C49" s="232"/>
      <c r="E49" s="235"/>
      <c r="G49" s="235"/>
      <c r="H49" s="235"/>
      <c r="L49" s="485"/>
    </row>
    <row r="50" spans="1:12" s="223" customFormat="1" ht="37.5" hidden="1" customHeight="1">
      <c r="A50" s="226"/>
      <c r="B50" s="245"/>
      <c r="D50" s="233"/>
      <c r="G50" s="317"/>
      <c r="H50" s="235"/>
      <c r="L50" s="485"/>
    </row>
    <row r="51" spans="1:12" s="223" customFormat="1" ht="37.5" hidden="1" customHeight="1">
      <c r="A51" s="378"/>
      <c r="B51" s="518"/>
      <c r="C51" s="232"/>
      <c r="D51" s="519"/>
      <c r="G51" s="317"/>
      <c r="L51" s="485"/>
    </row>
    <row r="52" spans="1:12" s="223" customFormat="1" ht="37.5" hidden="1" customHeight="1">
      <c r="A52" s="226"/>
      <c r="B52" s="308"/>
      <c r="D52" s="520"/>
      <c r="G52" s="316"/>
      <c r="H52" s="316"/>
      <c r="L52" s="485"/>
    </row>
    <row r="53" spans="1:12" s="223" customFormat="1" ht="37.5" hidden="1" customHeight="1">
      <c r="A53" s="226"/>
      <c r="B53" s="308"/>
      <c r="D53" s="309"/>
      <c r="G53" s="316"/>
      <c r="H53" s="316"/>
      <c r="L53" s="485"/>
    </row>
    <row r="54" spans="1:12" s="223" customFormat="1" ht="37.5" hidden="1" customHeight="1">
      <c r="A54" s="226"/>
      <c r="B54" s="308"/>
      <c r="D54" s="312"/>
      <c r="F54" s="235"/>
      <c r="G54" s="317"/>
      <c r="H54" s="225"/>
      <c r="L54" s="485"/>
    </row>
    <row r="55" spans="1:12" s="223" customFormat="1" ht="37.5" hidden="1" customHeight="1">
      <c r="A55" s="226"/>
      <c r="B55" s="308"/>
      <c r="D55" s="312"/>
      <c r="F55" s="235"/>
      <c r="G55" s="315"/>
      <c r="H55" s="225"/>
      <c r="L55" s="485"/>
    </row>
    <row r="56" spans="1:12" s="223" customFormat="1" ht="37.5" hidden="1" customHeight="1">
      <c r="A56" s="226"/>
      <c r="B56" s="308"/>
      <c r="D56" s="312"/>
      <c r="F56" s="235"/>
      <c r="G56" s="315"/>
      <c r="H56" s="225"/>
      <c r="L56" s="485"/>
    </row>
    <row r="57" spans="1:12" s="223" customFormat="1" ht="37.5" hidden="1" customHeight="1">
      <c r="A57" s="226"/>
      <c r="B57" s="308"/>
      <c r="D57" s="312"/>
      <c r="F57" s="235"/>
      <c r="G57" s="315"/>
      <c r="H57" s="225"/>
      <c r="L57" s="485"/>
    </row>
    <row r="58" spans="1:12" s="223" customFormat="1" ht="37.5" hidden="1" customHeight="1">
      <c r="A58" s="226"/>
      <c r="B58" s="308"/>
      <c r="D58" s="312"/>
      <c r="F58" s="235"/>
      <c r="G58" s="315"/>
      <c r="H58" s="225"/>
      <c r="L58" s="485"/>
    </row>
    <row r="59" spans="1:12" s="223" customFormat="1" ht="37.5" hidden="1" customHeight="1">
      <c r="A59" s="226"/>
      <c r="B59" s="308"/>
      <c r="D59" s="312"/>
      <c r="F59" s="235"/>
      <c r="G59" s="315"/>
      <c r="H59" s="225"/>
      <c r="L59" s="485"/>
    </row>
    <row r="60" spans="1:12" s="223" customFormat="1" ht="37.5" hidden="1" customHeight="1">
      <c r="A60" s="226"/>
      <c r="B60" s="308"/>
      <c r="D60" s="312"/>
      <c r="F60" s="235"/>
      <c r="G60" s="315"/>
      <c r="H60" s="225"/>
      <c r="L60" s="485"/>
    </row>
    <row r="61" spans="1:12" s="223" customFormat="1" ht="37.5" hidden="1" customHeight="1">
      <c r="A61" s="226"/>
      <c r="B61" s="308"/>
      <c r="D61" s="312"/>
      <c r="F61" s="235"/>
      <c r="G61" s="315"/>
      <c r="H61" s="225"/>
      <c r="L61" s="485"/>
    </row>
    <row r="62" spans="1:12" s="223" customFormat="1">
      <c r="A62" s="226"/>
      <c r="B62" s="321"/>
      <c r="G62" s="320"/>
      <c r="H62" s="225"/>
      <c r="L62" s="485"/>
    </row>
    <row r="63" spans="1:12" s="223" customFormat="1">
      <c r="A63" s="226"/>
      <c r="B63" s="321"/>
      <c r="G63" s="320"/>
      <c r="H63" s="225"/>
      <c r="L63" s="485"/>
    </row>
    <row r="64" spans="1:12" s="223" customFormat="1">
      <c r="A64" s="226"/>
      <c r="B64" s="321"/>
      <c r="G64" s="320"/>
      <c r="H64" s="225"/>
      <c r="L64" s="485"/>
    </row>
    <row r="65" spans="1:12" s="223" customFormat="1">
      <c r="A65" s="226"/>
      <c r="B65" s="321"/>
      <c r="L65" s="485"/>
    </row>
    <row r="66" spans="1:12" s="223" customFormat="1" ht="15.75">
      <c r="A66" s="226"/>
      <c r="B66" s="321"/>
      <c r="F66" s="235"/>
      <c r="G66" s="320"/>
      <c r="H66" s="225"/>
      <c r="L66" s="485"/>
    </row>
    <row r="67" spans="1:12" s="223" customFormat="1">
      <c r="A67" s="226"/>
      <c r="B67" s="321"/>
      <c r="G67" s="320"/>
      <c r="H67" s="225"/>
      <c r="L67" s="485"/>
    </row>
    <row r="68" spans="1:12" s="223" customFormat="1">
      <c r="A68" s="226"/>
      <c r="B68" s="321"/>
      <c r="G68" s="320"/>
      <c r="H68" s="225"/>
      <c r="L68" s="485"/>
    </row>
    <row r="69" spans="1:12" s="223" customFormat="1">
      <c r="A69" s="226"/>
      <c r="B69" s="321"/>
      <c r="G69" s="320"/>
      <c r="H69" s="225"/>
      <c r="L69" s="485"/>
    </row>
    <row r="70" spans="1:12" s="223" customFormat="1">
      <c r="A70" s="226"/>
      <c r="B70" s="321"/>
      <c r="G70" s="320"/>
      <c r="H70" s="225"/>
      <c r="L70" s="485"/>
    </row>
    <row r="71" spans="1:12" s="223" customFormat="1" ht="15.75">
      <c r="A71" s="226"/>
      <c r="B71" s="321"/>
      <c r="G71" s="235"/>
      <c r="H71" s="225"/>
      <c r="L71" s="485"/>
    </row>
    <row r="72" spans="1:12" s="223" customFormat="1" ht="15.75">
      <c r="A72" s="226"/>
      <c r="B72" s="321"/>
      <c r="G72" s="235"/>
      <c r="H72" s="225"/>
      <c r="L72" s="485"/>
    </row>
    <row r="73" spans="1:12" s="223" customFormat="1">
      <c r="A73" s="226"/>
      <c r="B73" s="321"/>
      <c r="G73" s="320"/>
      <c r="H73" s="225"/>
      <c r="L73" s="485"/>
    </row>
    <row r="74" spans="1:12" s="223" customFormat="1">
      <c r="A74" s="226"/>
      <c r="B74" s="321"/>
      <c r="G74" s="320"/>
      <c r="H74" s="225"/>
      <c r="L74" s="485"/>
    </row>
    <row r="75" spans="1:12" s="223" customFormat="1">
      <c r="A75" s="226"/>
      <c r="B75" s="321"/>
      <c r="G75" s="320"/>
      <c r="H75" s="225"/>
      <c r="L75" s="485"/>
    </row>
    <row r="76" spans="1:12" s="223" customFormat="1">
      <c r="A76" s="226"/>
      <c r="B76" s="321"/>
      <c r="G76" s="320"/>
      <c r="H76" s="225"/>
      <c r="L76" s="485"/>
    </row>
    <row r="77" spans="1:12" s="223" customFormat="1">
      <c r="A77" s="226"/>
      <c r="B77" s="321"/>
      <c r="G77" s="320"/>
      <c r="H77" s="225"/>
      <c r="L77" s="485"/>
    </row>
    <row r="78" spans="1:12" s="223" customFormat="1" ht="15.75">
      <c r="A78" s="226"/>
      <c r="B78" s="321"/>
      <c r="G78" s="235"/>
      <c r="H78" s="225"/>
      <c r="L78" s="485"/>
    </row>
    <row r="79" spans="1:12" s="223" customFormat="1" ht="15.75">
      <c r="A79" s="226"/>
      <c r="B79" s="321"/>
      <c r="G79" s="235"/>
      <c r="H79" s="225"/>
      <c r="L79" s="485"/>
    </row>
    <row r="80" spans="1:12" s="223" customFormat="1">
      <c r="A80" s="226"/>
      <c r="B80" s="321"/>
      <c r="G80" s="320"/>
      <c r="H80" s="225"/>
      <c r="L80" s="485"/>
    </row>
    <row r="81" spans="1:12" s="223" customFormat="1">
      <c r="A81" s="226"/>
      <c r="D81" s="230"/>
      <c r="E81" s="230"/>
      <c r="F81" s="230"/>
      <c r="G81" s="225"/>
      <c r="H81" s="225"/>
      <c r="I81" s="225"/>
      <c r="L81" s="485"/>
    </row>
    <row r="82" spans="1:12" s="223" customFormat="1">
      <c r="A82" s="226"/>
      <c r="D82" s="230"/>
      <c r="E82" s="230"/>
      <c r="F82" s="230"/>
      <c r="G82" s="225"/>
      <c r="H82" s="225"/>
      <c r="I82" s="225"/>
      <c r="L82" s="485"/>
    </row>
    <row r="83" spans="1:12" s="223" customFormat="1">
      <c r="A83" s="226"/>
      <c r="D83" s="230"/>
      <c r="E83" s="230"/>
      <c r="F83" s="230"/>
      <c r="G83" s="225"/>
      <c r="H83" s="225"/>
      <c r="I83" s="225"/>
      <c r="L83" s="485"/>
    </row>
    <row r="84" spans="1:12" s="223" customFormat="1">
      <c r="A84" s="226"/>
      <c r="D84" s="230"/>
      <c r="E84" s="230"/>
      <c r="F84" s="230"/>
      <c r="G84" s="225"/>
      <c r="H84" s="225"/>
      <c r="I84" s="225"/>
      <c r="L84" s="485"/>
    </row>
    <row r="85" spans="1:12" s="223" customFormat="1">
      <c r="A85" s="226"/>
      <c r="D85" s="230"/>
      <c r="E85" s="230"/>
      <c r="F85" s="230"/>
      <c r="G85" s="225"/>
      <c r="H85" s="225"/>
      <c r="I85" s="225"/>
      <c r="L85" s="485"/>
    </row>
    <row r="86" spans="1:12" s="223" customFormat="1">
      <c r="A86" s="226"/>
      <c r="D86" s="230"/>
      <c r="E86" s="230"/>
      <c r="F86" s="230"/>
      <c r="G86" s="225"/>
      <c r="H86" s="225"/>
      <c r="I86" s="225"/>
      <c r="L86" s="485"/>
    </row>
    <row r="87" spans="1:12" s="223" customFormat="1">
      <c r="A87" s="226"/>
      <c r="D87" s="230"/>
      <c r="E87" s="230"/>
      <c r="F87" s="230"/>
      <c r="G87" s="225"/>
      <c r="H87" s="225"/>
      <c r="I87" s="225"/>
      <c r="L87" s="485"/>
    </row>
    <row r="88" spans="1:12" s="223" customFormat="1" ht="15.75">
      <c r="A88" s="226"/>
      <c r="D88" s="230"/>
      <c r="E88" s="230"/>
      <c r="F88" s="332"/>
      <c r="G88" s="225"/>
      <c r="H88" s="225"/>
      <c r="I88" s="225"/>
      <c r="L88" s="485"/>
    </row>
    <row r="89" spans="1:12" s="223" customFormat="1">
      <c r="A89" s="226"/>
      <c r="D89" s="230"/>
      <c r="E89" s="230"/>
      <c r="F89" s="230"/>
      <c r="G89" s="225"/>
      <c r="H89" s="225"/>
      <c r="I89" s="225"/>
      <c r="L89" s="485"/>
    </row>
    <row r="90" spans="1:12" s="223" customFormat="1">
      <c r="A90" s="226"/>
      <c r="D90" s="230"/>
      <c r="E90" s="230"/>
      <c r="F90" s="230"/>
      <c r="G90" s="225"/>
      <c r="H90" s="225"/>
      <c r="I90" s="225"/>
      <c r="L90" s="485"/>
    </row>
    <row r="91" spans="1:12" s="223" customFormat="1">
      <c r="A91" s="226"/>
      <c r="D91" s="230"/>
      <c r="E91" s="230"/>
      <c r="F91" s="230"/>
      <c r="G91" s="225"/>
      <c r="H91" s="225"/>
      <c r="I91" s="225"/>
      <c r="L91" s="485"/>
    </row>
    <row r="92" spans="1:12" s="223" customFormat="1" ht="15.75">
      <c r="A92" s="226"/>
      <c r="D92" s="230"/>
      <c r="E92" s="230"/>
      <c r="F92" s="332"/>
      <c r="G92" s="225"/>
      <c r="H92" s="225"/>
      <c r="I92" s="225"/>
      <c r="L92" s="485"/>
    </row>
    <row r="93" spans="1:12" s="223" customFormat="1">
      <c r="A93" s="226"/>
      <c r="D93" s="230"/>
      <c r="E93" s="230"/>
      <c r="F93" s="230"/>
      <c r="G93" s="225"/>
      <c r="H93" s="225"/>
      <c r="I93" s="225"/>
      <c r="L93" s="485"/>
    </row>
    <row r="94" spans="1:12" s="223" customFormat="1">
      <c r="A94" s="226"/>
      <c r="D94" s="230"/>
      <c r="E94" s="230"/>
      <c r="F94" s="230"/>
      <c r="G94" s="225"/>
      <c r="H94" s="225"/>
      <c r="I94" s="225"/>
      <c r="L94" s="485"/>
    </row>
    <row r="95" spans="1:12" s="223" customFormat="1">
      <c r="A95" s="226"/>
      <c r="L95" s="485"/>
    </row>
    <row r="96" spans="1:12" s="223" customFormat="1">
      <c r="A96" s="226"/>
      <c r="D96" s="230"/>
      <c r="E96" s="230"/>
      <c r="G96" s="230"/>
      <c r="L96" s="485"/>
    </row>
    <row r="97" spans="1:12" s="223" customFormat="1">
      <c r="A97" s="226"/>
      <c r="D97" s="230"/>
      <c r="E97" s="230"/>
      <c r="G97" s="230"/>
      <c r="L97" s="485"/>
    </row>
    <row r="98" spans="1:12" s="223" customFormat="1">
      <c r="A98" s="226"/>
      <c r="D98" s="230"/>
      <c r="E98" s="230"/>
      <c r="G98" s="230"/>
      <c r="L98" s="485"/>
    </row>
    <row r="99" spans="1:12" s="223" customFormat="1">
      <c r="A99" s="226"/>
      <c r="D99" s="230"/>
      <c r="E99" s="230"/>
      <c r="G99" s="230"/>
      <c r="L99" s="485"/>
    </row>
    <row r="100" spans="1:12" s="223" customFormat="1">
      <c r="A100" s="226"/>
      <c r="D100" s="230"/>
      <c r="E100" s="230"/>
      <c r="G100" s="230"/>
      <c r="L100" s="485"/>
    </row>
    <row r="101" spans="1:12" s="223" customFormat="1">
      <c r="A101" s="226"/>
      <c r="D101" s="230"/>
      <c r="E101" s="230"/>
      <c r="G101" s="230"/>
      <c r="L101" s="485"/>
    </row>
    <row r="102" spans="1:12" s="223" customFormat="1">
      <c r="A102" s="226"/>
      <c r="D102" s="230"/>
      <c r="E102" s="230"/>
      <c r="G102" s="230"/>
      <c r="L102" s="485"/>
    </row>
    <row r="103" spans="1:12" s="223" customFormat="1">
      <c r="A103" s="226"/>
      <c r="D103" s="230"/>
      <c r="E103" s="230"/>
      <c r="G103" s="230"/>
      <c r="L103" s="485"/>
    </row>
    <row r="104" spans="1:12" s="223" customFormat="1">
      <c r="A104" s="226"/>
      <c r="D104" s="230"/>
      <c r="E104" s="230"/>
      <c r="G104" s="230"/>
      <c r="L104" s="485"/>
    </row>
    <row r="105" spans="1:12" s="223" customFormat="1">
      <c r="A105" s="226"/>
      <c r="D105" s="230"/>
      <c r="E105" s="230"/>
      <c r="G105" s="230"/>
      <c r="L105" s="485"/>
    </row>
    <row r="106" spans="1:12" s="223" customFormat="1">
      <c r="A106" s="226"/>
      <c r="D106" s="230"/>
      <c r="E106" s="230"/>
      <c r="G106" s="230"/>
      <c r="L106" s="485"/>
    </row>
    <row r="107" spans="1:12" s="223" customFormat="1">
      <c r="A107" s="226"/>
      <c r="D107" s="230"/>
      <c r="E107" s="230"/>
      <c r="G107" s="230"/>
      <c r="L107" s="485"/>
    </row>
    <row r="108" spans="1:12" s="223" customFormat="1">
      <c r="A108" s="226"/>
      <c r="C108" s="231"/>
      <c r="L108" s="485"/>
    </row>
    <row r="111" spans="1:12" s="223" customFormat="1">
      <c r="A111" s="226"/>
      <c r="C111" s="231"/>
      <c r="D111" s="336"/>
      <c r="L111" s="485"/>
    </row>
    <row r="112" spans="1:12" s="223" customFormat="1">
      <c r="A112" s="226"/>
      <c r="B112" s="231"/>
      <c r="L112" s="485"/>
    </row>
    <row r="113" spans="1:12" s="223" customFormat="1">
      <c r="A113" s="226"/>
      <c r="B113" s="231"/>
      <c r="C113" s="336"/>
      <c r="L113" s="485"/>
    </row>
    <row r="114" spans="1:12" s="223" customFormat="1">
      <c r="A114" s="226"/>
      <c r="B114" s="337"/>
      <c r="C114" s="233"/>
      <c r="I114" s="227"/>
      <c r="L114" s="485"/>
    </row>
    <row r="115" spans="1:12" s="223" customFormat="1">
      <c r="A115" s="226"/>
      <c r="B115" s="245"/>
      <c r="L115" s="485"/>
    </row>
    <row r="116" spans="1:12" s="223" customFormat="1">
      <c r="A116" s="226"/>
      <c r="D116" s="223">
        <f>D96</f>
        <v>0</v>
      </c>
      <c r="E116" s="223">
        <v>2</v>
      </c>
      <c r="G116" s="230">
        <f>E116*D116</f>
        <v>0</v>
      </c>
      <c r="H116" s="223" t="s">
        <v>14</v>
      </c>
      <c r="L116" s="485"/>
    </row>
    <row r="117" spans="1:12" s="223" customFormat="1">
      <c r="A117" s="226"/>
      <c r="B117" s="245"/>
      <c r="C117" s="338" t="s">
        <v>288</v>
      </c>
      <c r="L117" s="485"/>
    </row>
    <row r="118" spans="1:12" s="223" customFormat="1" ht="15.75">
      <c r="A118" s="226"/>
      <c r="B118" s="333" t="s">
        <v>289</v>
      </c>
      <c r="D118" s="338"/>
      <c r="E118" s="223">
        <v>69.45</v>
      </c>
      <c r="F118" s="223">
        <v>2</v>
      </c>
      <c r="G118" s="312">
        <f>F118*E118</f>
        <v>138.9</v>
      </c>
      <c r="L118" s="485"/>
    </row>
    <row r="119" spans="1:12" s="223" customFormat="1" ht="15.75">
      <c r="A119" s="226"/>
      <c r="B119" s="333" t="s">
        <v>290</v>
      </c>
      <c r="D119" s="338"/>
      <c r="E119" s="223">
        <v>51.89</v>
      </c>
      <c r="F119" s="223">
        <v>1</v>
      </c>
      <c r="G119" s="312">
        <f>F119*E119</f>
        <v>51.89</v>
      </c>
      <c r="L119" s="485"/>
    </row>
    <row r="120" spans="1:12" s="223" customFormat="1" ht="15.75">
      <c r="A120" s="226"/>
      <c r="B120" s="245"/>
      <c r="D120" s="338"/>
      <c r="H120" s="235">
        <f>SUM(G118:G119)</f>
        <v>190.79000000000002</v>
      </c>
      <c r="L120" s="485"/>
    </row>
    <row r="121" spans="1:12" s="223" customFormat="1">
      <c r="A121" s="226"/>
      <c r="B121" s="333" t="s">
        <v>291</v>
      </c>
      <c r="D121" s="338"/>
      <c r="G121" s="223">
        <f>G131</f>
        <v>231.5248</v>
      </c>
      <c r="L121" s="485"/>
    </row>
    <row r="124" spans="1:12" s="223" customFormat="1">
      <c r="A124" s="226"/>
      <c r="B124" s="339"/>
      <c r="I124" s="225"/>
      <c r="J124" s="225"/>
      <c r="L124" s="485"/>
    </row>
    <row r="125" spans="1:12" s="223" customFormat="1">
      <c r="A125" s="226" t="s">
        <v>292</v>
      </c>
      <c r="B125" s="339"/>
      <c r="I125" s="225"/>
      <c r="J125" s="225"/>
      <c r="L125" s="485"/>
    </row>
    <row r="126" spans="1:12" s="223" customFormat="1">
      <c r="A126" s="226"/>
      <c r="B126" s="339">
        <v>1</v>
      </c>
      <c r="C126" s="223">
        <v>3</v>
      </c>
      <c r="D126" s="223">
        <v>1.5</v>
      </c>
      <c r="F126" s="223">
        <f>D126*C126</f>
        <v>4.5</v>
      </c>
      <c r="I126" s="225"/>
      <c r="J126" s="225"/>
      <c r="L126" s="485"/>
    </row>
    <row r="127" spans="1:12" s="223" customFormat="1">
      <c r="A127" s="226"/>
      <c r="B127" s="339">
        <v>2</v>
      </c>
      <c r="C127" s="223">
        <v>11.75</v>
      </c>
      <c r="D127" s="223">
        <v>12</v>
      </c>
      <c r="F127" s="223">
        <f>D127*C127</f>
        <v>141</v>
      </c>
      <c r="I127" s="225"/>
      <c r="J127" s="225"/>
      <c r="L127" s="485"/>
    </row>
    <row r="128" spans="1:12" s="223" customFormat="1">
      <c r="A128" s="226"/>
      <c r="B128" s="339">
        <v>3</v>
      </c>
      <c r="C128" s="223">
        <v>5.0599999999999996</v>
      </c>
      <c r="D128" s="223">
        <v>1.94</v>
      </c>
      <c r="E128" s="223">
        <v>2</v>
      </c>
      <c r="F128" s="223">
        <f>E128*D128*C128</f>
        <v>19.6328</v>
      </c>
      <c r="I128" s="225"/>
      <c r="J128" s="225"/>
      <c r="L128" s="485"/>
    </row>
    <row r="129" spans="1:12" s="223" customFormat="1">
      <c r="A129" s="226"/>
      <c r="B129" s="339">
        <v>4</v>
      </c>
      <c r="C129" s="223">
        <v>6.28</v>
      </c>
      <c r="D129" s="223">
        <v>6.2</v>
      </c>
      <c r="F129" s="223">
        <f>D129*C129</f>
        <v>38.936</v>
      </c>
      <c r="I129" s="225"/>
      <c r="J129" s="225"/>
      <c r="L129" s="485"/>
    </row>
    <row r="130" spans="1:12" s="223" customFormat="1">
      <c r="A130" s="226"/>
      <c r="B130" s="339">
        <v>5</v>
      </c>
      <c r="C130" s="223">
        <v>4.8</v>
      </c>
      <c r="D130" s="223">
        <v>2.86</v>
      </c>
      <c r="E130" s="223">
        <v>2</v>
      </c>
      <c r="F130" s="223">
        <f>E130*D130*C130</f>
        <v>27.456</v>
      </c>
      <c r="I130" s="225"/>
      <c r="J130" s="225"/>
      <c r="L130" s="485"/>
    </row>
    <row r="131" spans="1:12" s="223" customFormat="1" ht="15.75">
      <c r="A131" s="226"/>
      <c r="G131" s="235">
        <f>SUM(F126:F130)</f>
        <v>231.5248</v>
      </c>
      <c r="H131" s="235"/>
      <c r="L131" s="485"/>
    </row>
    <row r="132" spans="1:12" s="223" customFormat="1">
      <c r="A132" s="226"/>
      <c r="B132" s="339"/>
      <c r="G132" s="340"/>
      <c r="H132" s="340"/>
      <c r="J132" s="225"/>
      <c r="L132" s="485"/>
    </row>
    <row r="133" spans="1:12" s="223" customFormat="1">
      <c r="A133" s="226"/>
      <c r="B133" s="333" t="s">
        <v>293</v>
      </c>
      <c r="D133" s="223">
        <v>4.8</v>
      </c>
      <c r="E133" s="223">
        <v>2.86</v>
      </c>
      <c r="F133" s="223">
        <v>2</v>
      </c>
      <c r="G133" s="223">
        <f>F133*E133*D133</f>
        <v>27.456</v>
      </c>
      <c r="I133" s="230"/>
      <c r="L133" s="485"/>
    </row>
    <row r="134" spans="1:12" s="223" customFormat="1">
      <c r="A134" s="226"/>
      <c r="B134" s="333" t="s">
        <v>294</v>
      </c>
      <c r="D134" s="223">
        <v>6.2</v>
      </c>
      <c r="E134" s="223">
        <v>6.28</v>
      </c>
      <c r="G134" s="223">
        <f>E134*D134</f>
        <v>38.936</v>
      </c>
      <c r="J134" s="340"/>
      <c r="L134" s="485"/>
    </row>
    <row r="135" spans="1:12" s="223" customFormat="1">
      <c r="A135" s="226"/>
      <c r="B135" s="333" t="s">
        <v>295</v>
      </c>
      <c r="D135" s="223">
        <v>11.75</v>
      </c>
      <c r="E135" s="223">
        <v>12</v>
      </c>
      <c r="F135" s="223">
        <v>4.5</v>
      </c>
      <c r="G135" s="223">
        <f>D135*E135+F135</f>
        <v>145.5</v>
      </c>
      <c r="J135" s="340"/>
      <c r="L135" s="485"/>
    </row>
    <row r="136" spans="1:12" s="223" customFormat="1" ht="17.25">
      <c r="A136" s="226"/>
      <c r="B136" s="339" t="s">
        <v>296</v>
      </c>
      <c r="D136" s="223">
        <v>2</v>
      </c>
      <c r="E136" s="223">
        <v>5</v>
      </c>
      <c r="F136" s="223">
        <v>2</v>
      </c>
      <c r="G136" s="223">
        <f>F136*E136*D136</f>
        <v>20</v>
      </c>
      <c r="I136" s="341"/>
      <c r="J136" s="340"/>
      <c r="L136" s="485"/>
    </row>
    <row r="137" spans="1:12" s="223" customFormat="1">
      <c r="A137" s="226"/>
      <c r="B137" s="339"/>
      <c r="I137" s="342"/>
      <c r="J137" s="342"/>
      <c r="L137" s="485"/>
    </row>
    <row r="138" spans="1:12" s="223" customFormat="1">
      <c r="A138" s="224"/>
      <c r="B138" s="343" t="s">
        <v>297</v>
      </c>
      <c r="D138" s="223">
        <v>3</v>
      </c>
      <c r="E138" s="223">
        <v>6</v>
      </c>
      <c r="F138" s="223">
        <f>E138*D138</f>
        <v>18</v>
      </c>
      <c r="G138" s="320"/>
      <c r="H138" s="227"/>
      <c r="L138" s="485"/>
    </row>
    <row r="139" spans="1:12" s="223" customFormat="1">
      <c r="A139" s="226"/>
      <c r="B139" s="339"/>
      <c r="F139" s="223">
        <v>1.4</v>
      </c>
      <c r="L139" s="485"/>
    </row>
    <row r="140" spans="1:12" s="223" customFormat="1" ht="15.75">
      <c r="A140" s="226"/>
      <c r="B140" s="339"/>
      <c r="F140" s="223">
        <f>SUM(F138:F139)</f>
        <v>19.399999999999999</v>
      </c>
      <c r="G140" s="223">
        <v>3</v>
      </c>
      <c r="H140" s="235">
        <f>G140*F140</f>
        <v>58.199999999999996</v>
      </c>
      <c r="L140" s="485"/>
    </row>
    <row r="141" spans="1:12" s="223" customFormat="1" ht="15.75">
      <c r="A141" s="226"/>
      <c r="B141" s="344"/>
      <c r="G141" s="230"/>
      <c r="H141" s="230"/>
      <c r="L141" s="485"/>
    </row>
    <row r="142" spans="1:12" s="223" customFormat="1">
      <c r="A142" s="226"/>
      <c r="B142" s="345" t="s">
        <v>298</v>
      </c>
      <c r="L142" s="485"/>
    </row>
    <row r="143" spans="1:12" s="223" customFormat="1">
      <c r="A143" s="226"/>
      <c r="B143" s="346"/>
      <c r="D143" s="223" t="s">
        <v>299</v>
      </c>
      <c r="E143" s="223" t="s">
        <v>267</v>
      </c>
      <c r="F143" s="223" t="s">
        <v>241</v>
      </c>
      <c r="G143" s="223" t="s">
        <v>300</v>
      </c>
      <c r="H143" s="223" t="s">
        <v>301</v>
      </c>
      <c r="L143" s="485"/>
    </row>
    <row r="144" spans="1:12" s="223" customFormat="1">
      <c r="A144" s="226"/>
      <c r="B144" s="346"/>
      <c r="C144" s="223" t="s">
        <v>302</v>
      </c>
      <c r="D144" s="223">
        <v>0.15</v>
      </c>
      <c r="E144" s="223">
        <v>1</v>
      </c>
      <c r="F144" s="223">
        <v>1</v>
      </c>
      <c r="G144" s="223">
        <f>F144*E144*D144</f>
        <v>0.15</v>
      </c>
      <c r="H144" s="223">
        <v>350000</v>
      </c>
      <c r="L144" s="485"/>
    </row>
    <row r="145" spans="1:12" s="223" customFormat="1">
      <c r="A145" s="226"/>
      <c r="B145" s="346"/>
      <c r="C145" s="223" t="s">
        <v>303</v>
      </c>
      <c r="D145" s="223">
        <v>0.03</v>
      </c>
      <c r="E145" s="223">
        <v>1</v>
      </c>
      <c r="F145" s="223">
        <v>1</v>
      </c>
      <c r="G145" s="223">
        <f>F145*E145*D145</f>
        <v>0.03</v>
      </c>
      <c r="H145" s="223">
        <v>420000</v>
      </c>
      <c r="L145" s="485"/>
    </row>
    <row r="146" spans="1:12" s="223" customFormat="1">
      <c r="A146" s="226"/>
      <c r="C146" s="223" t="s">
        <v>304</v>
      </c>
      <c r="D146" s="223">
        <v>1</v>
      </c>
      <c r="E146" s="223">
        <v>1</v>
      </c>
      <c r="F146" s="225">
        <v>1</v>
      </c>
      <c r="G146" s="223">
        <f>F146*E146*D146</f>
        <v>1</v>
      </c>
      <c r="H146" s="225">
        <v>100000</v>
      </c>
      <c r="L146" s="485"/>
    </row>
    <row r="147" spans="1:12" s="223" customFormat="1">
      <c r="A147" s="226"/>
      <c r="C147" s="223" t="s">
        <v>229</v>
      </c>
      <c r="E147" s="225"/>
      <c r="G147" s="225">
        <v>1</v>
      </c>
      <c r="H147" s="225">
        <v>50000</v>
      </c>
      <c r="L147" s="485"/>
    </row>
    <row r="148" spans="1:12" s="223" customFormat="1">
      <c r="A148" s="226"/>
      <c r="B148" s="330"/>
      <c r="D148" s="223" t="s">
        <v>305</v>
      </c>
      <c r="I148" s="223" t="e">
        <f>SUM(#REF!)</f>
        <v>#REF!</v>
      </c>
      <c r="L148" s="485"/>
    </row>
    <row r="149" spans="1:12" s="223" customFormat="1">
      <c r="A149" s="226"/>
      <c r="E149" s="225"/>
      <c r="L149" s="485"/>
    </row>
    <row r="150" spans="1:12" s="223" customFormat="1">
      <c r="A150" s="226"/>
      <c r="C150" s="223" t="s">
        <v>142</v>
      </c>
      <c r="D150" s="223" t="s">
        <v>299</v>
      </c>
      <c r="E150" s="225" t="s">
        <v>306</v>
      </c>
      <c r="F150" s="223" t="s">
        <v>307</v>
      </c>
      <c r="G150" s="225" t="s">
        <v>308</v>
      </c>
      <c r="H150" s="225"/>
      <c r="L150" s="485"/>
    </row>
    <row r="151" spans="1:12" s="223" customFormat="1">
      <c r="A151" s="226"/>
      <c r="D151" s="223">
        <v>0.2</v>
      </c>
      <c r="E151" s="223">
        <v>6</v>
      </c>
      <c r="F151" s="223">
        <v>2</v>
      </c>
      <c r="G151" s="223" t="s">
        <v>15</v>
      </c>
      <c r="H151" s="225">
        <f>F151*E151*D151</f>
        <v>2.4000000000000004</v>
      </c>
      <c r="L151" s="485"/>
    </row>
    <row r="153" spans="1:12" s="223" customFormat="1" ht="18">
      <c r="A153" s="226"/>
      <c r="B153" s="347" t="s">
        <v>309</v>
      </c>
      <c r="C153" s="348" t="s">
        <v>310</v>
      </c>
      <c r="D153" s="349">
        <f>1*0.15*0.3</f>
        <v>4.4999999999999998E-2</v>
      </c>
      <c r="E153" s="350" t="s">
        <v>311</v>
      </c>
      <c r="F153" s="351"/>
      <c r="G153" s="352"/>
      <c r="H153" s="353"/>
      <c r="L153" s="485"/>
    </row>
    <row r="154" spans="1:12" s="223" customFormat="1" ht="16.5">
      <c r="A154" s="226"/>
      <c r="B154" s="347"/>
      <c r="C154" s="354" t="s">
        <v>234</v>
      </c>
      <c r="D154" s="355"/>
      <c r="E154" s="356"/>
      <c r="F154" s="357"/>
      <c r="G154" s="357"/>
      <c r="H154" s="353"/>
      <c r="L154" s="485"/>
    </row>
    <row r="155" spans="1:12" s="223" customFormat="1" ht="16.5">
      <c r="A155" s="226"/>
      <c r="B155" s="347"/>
      <c r="C155" s="354" t="s">
        <v>219</v>
      </c>
      <c r="D155" s="355">
        <f>D153*6</f>
        <v>0.27</v>
      </c>
      <c r="E155" s="356" t="s">
        <v>220</v>
      </c>
      <c r="F155" s="357">
        <v>53000</v>
      </c>
      <c r="G155" s="357">
        <f t="shared" ref="G155:G166" si="1">F155*D155</f>
        <v>14310.000000000002</v>
      </c>
      <c r="H155" s="353"/>
      <c r="L155" s="485"/>
    </row>
    <row r="156" spans="1:12" s="223" customFormat="1" ht="18">
      <c r="A156" s="226"/>
      <c r="B156" s="347"/>
      <c r="C156" s="354" t="s">
        <v>222</v>
      </c>
      <c r="D156" s="355">
        <f>D153*0.54</f>
        <v>2.4300000000000002E-2</v>
      </c>
      <c r="E156" s="356" t="s">
        <v>311</v>
      </c>
      <c r="F156" s="357">
        <v>310000</v>
      </c>
      <c r="G156" s="357">
        <f t="shared" si="1"/>
        <v>7533.0000000000009</v>
      </c>
      <c r="H156" s="353"/>
      <c r="L156" s="485"/>
    </row>
    <row r="157" spans="1:12" s="223" customFormat="1" ht="18">
      <c r="A157" s="226"/>
      <c r="B157" s="347"/>
      <c r="C157" s="354" t="s">
        <v>224</v>
      </c>
      <c r="D157" s="355">
        <f>D153*0.82</f>
        <v>3.6899999999999995E-2</v>
      </c>
      <c r="E157" s="356" t="s">
        <v>311</v>
      </c>
      <c r="F157" s="357">
        <v>310000</v>
      </c>
      <c r="G157" s="357">
        <f t="shared" si="1"/>
        <v>11438.999999999998</v>
      </c>
      <c r="H157" s="353"/>
      <c r="L157" s="485"/>
    </row>
    <row r="158" spans="1:12" s="223" customFormat="1" ht="16.5">
      <c r="A158" s="226"/>
      <c r="B158" s="347"/>
      <c r="C158" s="354" t="s">
        <v>226</v>
      </c>
      <c r="D158" s="355">
        <v>1</v>
      </c>
      <c r="E158" s="356" t="s">
        <v>20</v>
      </c>
      <c r="F158" s="357">
        <v>103000</v>
      </c>
      <c r="G158" s="357">
        <f t="shared" si="1"/>
        <v>103000</v>
      </c>
      <c r="H158" s="353"/>
      <c r="L158" s="485"/>
    </row>
    <row r="159" spans="1:12" s="223" customFormat="1" ht="16.5">
      <c r="A159" s="226"/>
      <c r="B159" s="347"/>
      <c r="C159" s="354" t="s">
        <v>239</v>
      </c>
      <c r="D159" s="355">
        <v>0.2</v>
      </c>
      <c r="E159" s="356" t="s">
        <v>20</v>
      </c>
      <c r="F159" s="357">
        <v>39000</v>
      </c>
      <c r="G159" s="357">
        <f t="shared" si="1"/>
        <v>7800</v>
      </c>
      <c r="H159" s="353"/>
      <c r="L159" s="485"/>
    </row>
    <row r="160" spans="1:12" s="223" customFormat="1" ht="16.5">
      <c r="A160" s="226"/>
      <c r="B160" s="347"/>
      <c r="C160" s="354" t="s">
        <v>240</v>
      </c>
      <c r="D160" s="355">
        <v>0.5</v>
      </c>
      <c r="E160" s="356" t="s">
        <v>241</v>
      </c>
      <c r="F160" s="357">
        <v>95000</v>
      </c>
      <c r="G160" s="357">
        <f t="shared" si="1"/>
        <v>47500</v>
      </c>
      <c r="H160" s="353"/>
      <c r="L160" s="485"/>
    </row>
    <row r="161" spans="1:12" s="223" customFormat="1" ht="16.5">
      <c r="A161" s="226"/>
      <c r="B161" s="347"/>
      <c r="C161" s="354" t="s">
        <v>242</v>
      </c>
      <c r="D161" s="355">
        <f>D153*2.5</f>
        <v>0.11249999999999999</v>
      </c>
      <c r="E161" s="356" t="s">
        <v>17</v>
      </c>
      <c r="F161" s="357">
        <v>20000</v>
      </c>
      <c r="G161" s="357">
        <f t="shared" si="1"/>
        <v>2250</v>
      </c>
      <c r="H161" s="353"/>
      <c r="L161" s="485"/>
    </row>
    <row r="162" spans="1:12" s="223" customFormat="1" ht="16.5">
      <c r="A162" s="226"/>
      <c r="B162" s="347"/>
      <c r="C162" s="354" t="s">
        <v>243</v>
      </c>
      <c r="D162" s="355">
        <v>0.02</v>
      </c>
      <c r="E162" s="356" t="s">
        <v>15</v>
      </c>
      <c r="F162" s="357">
        <v>2500000</v>
      </c>
      <c r="G162" s="357">
        <f t="shared" si="1"/>
        <v>50000</v>
      </c>
      <c r="H162" s="353"/>
      <c r="L162" s="485"/>
    </row>
    <row r="163" spans="1:12" s="223" customFormat="1" ht="16.5">
      <c r="A163" s="226"/>
      <c r="B163" s="347"/>
      <c r="C163" s="354" t="s">
        <v>244</v>
      </c>
      <c r="D163" s="355">
        <f>D153*2</f>
        <v>0.09</v>
      </c>
      <c r="E163" s="356" t="s">
        <v>17</v>
      </c>
      <c r="F163" s="357">
        <v>18000</v>
      </c>
      <c r="G163" s="357">
        <f t="shared" si="1"/>
        <v>1620</v>
      </c>
      <c r="H163" s="353"/>
      <c r="L163" s="485"/>
    </row>
    <row r="164" spans="1:12" s="223" customFormat="1" ht="16.5">
      <c r="A164" s="226"/>
      <c r="B164" s="347"/>
      <c r="C164" s="354" t="s">
        <v>245</v>
      </c>
      <c r="D164" s="358">
        <f>0.3*0.12*3</f>
        <v>0.10799999999999998</v>
      </c>
      <c r="E164" s="359" t="s">
        <v>14</v>
      </c>
      <c r="F164" s="360">
        <v>20000</v>
      </c>
      <c r="G164" s="360">
        <f t="shared" si="1"/>
        <v>2159.9999999999995</v>
      </c>
      <c r="H164" s="353"/>
      <c r="L164" s="485"/>
    </row>
    <row r="165" spans="1:12" s="223" customFormat="1" ht="16.5">
      <c r="A165" s="226"/>
      <c r="B165" s="347"/>
      <c r="C165" s="354" t="s">
        <v>228</v>
      </c>
      <c r="D165" s="358">
        <v>8.67</v>
      </c>
      <c r="E165" s="359" t="s">
        <v>17</v>
      </c>
      <c r="F165" s="361">
        <v>3000</v>
      </c>
      <c r="G165" s="360">
        <f t="shared" si="1"/>
        <v>26010</v>
      </c>
      <c r="H165" s="353"/>
      <c r="L165" s="485"/>
    </row>
    <row r="166" spans="1:12" s="223" customFormat="1" ht="18">
      <c r="A166" s="226"/>
      <c r="B166" s="347"/>
      <c r="C166" s="362" t="s">
        <v>229</v>
      </c>
      <c r="D166" s="358">
        <f>D153*1</f>
        <v>4.4999999999999998E-2</v>
      </c>
      <c r="E166" s="359" t="s">
        <v>311</v>
      </c>
      <c r="F166" s="361">
        <v>300000</v>
      </c>
      <c r="G166" s="360">
        <f t="shared" si="1"/>
        <v>13500</v>
      </c>
      <c r="H166" s="353"/>
      <c r="L166" s="485"/>
    </row>
    <row r="167" spans="1:12" s="223" customFormat="1" ht="16.5">
      <c r="A167" s="226"/>
      <c r="B167" s="363"/>
      <c r="C167" s="1148" t="s">
        <v>246</v>
      </c>
      <c r="D167" s="1149"/>
      <c r="E167" s="1149"/>
      <c r="F167" s="1149"/>
      <c r="G167" s="364">
        <f>SUM(G155:G166)</f>
        <v>287122</v>
      </c>
      <c r="H167" s="353">
        <f>G167/D153</f>
        <v>6380488.888888889</v>
      </c>
      <c r="L167" s="485"/>
    </row>
    <row r="168" spans="1:12" s="223" customFormat="1">
      <c r="A168" s="226"/>
      <c r="L168" s="485"/>
    </row>
    <row r="169" spans="1:12" s="223" customFormat="1" ht="18">
      <c r="A169" s="226"/>
      <c r="B169" s="340"/>
      <c r="C169" s="348" t="s">
        <v>312</v>
      </c>
      <c r="D169" s="349">
        <f>0.2*6*2</f>
        <v>2.4000000000000004</v>
      </c>
      <c r="E169" s="350" t="s">
        <v>311</v>
      </c>
      <c r="F169" s="351"/>
      <c r="G169" s="352"/>
      <c r="H169" s="353"/>
      <c r="L169" s="485"/>
    </row>
    <row r="170" spans="1:12" s="223" customFormat="1" ht="16.5">
      <c r="A170" s="226"/>
      <c r="B170" s="340"/>
      <c r="C170" s="354" t="s">
        <v>234</v>
      </c>
      <c r="D170" s="355"/>
      <c r="E170" s="356"/>
      <c r="F170" s="357"/>
      <c r="G170" s="357"/>
      <c r="H170" s="353"/>
      <c r="L170" s="485"/>
    </row>
    <row r="171" spans="1:12" s="223" customFormat="1" ht="16.5">
      <c r="A171" s="226"/>
      <c r="B171" s="340"/>
      <c r="C171" s="354" t="s">
        <v>219</v>
      </c>
      <c r="D171" s="355">
        <f>D169*6</f>
        <v>14.400000000000002</v>
      </c>
      <c r="E171" s="356" t="s">
        <v>220</v>
      </c>
      <c r="F171" s="357">
        <v>53000</v>
      </c>
      <c r="G171" s="357">
        <f t="shared" ref="G171:G181" si="2">F171*D171</f>
        <v>763200.00000000012</v>
      </c>
      <c r="H171" s="353"/>
      <c r="L171" s="485"/>
    </row>
    <row r="172" spans="1:12" s="223" customFormat="1" ht="18">
      <c r="A172" s="226"/>
      <c r="B172" s="340"/>
      <c r="C172" s="354" t="s">
        <v>222</v>
      </c>
      <c r="D172" s="355">
        <f>D169*0.54</f>
        <v>1.2960000000000003</v>
      </c>
      <c r="E172" s="356" t="s">
        <v>311</v>
      </c>
      <c r="F172" s="357">
        <v>310000</v>
      </c>
      <c r="G172" s="357">
        <f t="shared" si="2"/>
        <v>401760.00000000006</v>
      </c>
      <c r="H172" s="353"/>
      <c r="L172" s="485"/>
    </row>
    <row r="173" spans="1:12" s="223" customFormat="1" ht="18">
      <c r="A173" s="226"/>
      <c r="C173" s="354" t="s">
        <v>224</v>
      </c>
      <c r="D173" s="355">
        <f>D169*0.82</f>
        <v>1.9680000000000002</v>
      </c>
      <c r="E173" s="356" t="s">
        <v>311</v>
      </c>
      <c r="F173" s="357">
        <v>310000</v>
      </c>
      <c r="G173" s="357">
        <f t="shared" si="2"/>
        <v>610080.00000000012</v>
      </c>
      <c r="H173" s="353"/>
      <c r="L173" s="485"/>
    </row>
    <row r="174" spans="1:12" s="223" customFormat="1" ht="16.5">
      <c r="A174" s="226"/>
      <c r="C174" s="354" t="s">
        <v>313</v>
      </c>
      <c r="D174" s="355">
        <v>28</v>
      </c>
      <c r="E174" s="356" t="s">
        <v>20</v>
      </c>
      <c r="F174" s="357">
        <v>87000</v>
      </c>
      <c r="G174" s="357">
        <f t="shared" si="2"/>
        <v>2436000</v>
      </c>
      <c r="H174" s="353"/>
      <c r="L174" s="485"/>
    </row>
    <row r="175" spans="1:12" s="223" customFormat="1" ht="16.5">
      <c r="A175" s="226"/>
      <c r="C175" s="354" t="s">
        <v>240</v>
      </c>
      <c r="D175" s="355">
        <v>4</v>
      </c>
      <c r="E175" s="356" t="s">
        <v>241</v>
      </c>
      <c r="F175" s="357">
        <v>95000</v>
      </c>
      <c r="G175" s="357">
        <f t="shared" si="2"/>
        <v>380000</v>
      </c>
      <c r="H175" s="353"/>
      <c r="L175" s="485"/>
    </row>
    <row r="176" spans="1:12" s="223" customFormat="1" ht="16.5">
      <c r="A176" s="226"/>
      <c r="C176" s="354" t="s">
        <v>242</v>
      </c>
      <c r="D176" s="355">
        <f>D169*2.5</f>
        <v>6.0000000000000009</v>
      </c>
      <c r="E176" s="356" t="s">
        <v>17</v>
      </c>
      <c r="F176" s="357">
        <v>20000</v>
      </c>
      <c r="G176" s="357">
        <f t="shared" si="2"/>
        <v>120000.00000000001</v>
      </c>
      <c r="H176" s="353"/>
      <c r="L176" s="485"/>
    </row>
    <row r="177" spans="1:12" s="223" customFormat="1" ht="16.5">
      <c r="A177" s="226"/>
      <c r="C177" s="354" t="s">
        <v>243</v>
      </c>
      <c r="D177" s="355">
        <v>0.5</v>
      </c>
      <c r="E177" s="356" t="s">
        <v>15</v>
      </c>
      <c r="F177" s="357">
        <v>2500000</v>
      </c>
      <c r="G177" s="357">
        <f t="shared" si="2"/>
        <v>1250000</v>
      </c>
      <c r="H177" s="353"/>
      <c r="I177" s="342"/>
      <c r="L177" s="485"/>
    </row>
    <row r="178" spans="1:12" s="223" customFormat="1" ht="16.5">
      <c r="A178" s="226"/>
      <c r="C178" s="354" t="s">
        <v>244</v>
      </c>
      <c r="D178" s="355">
        <f>D169*2</f>
        <v>4.8000000000000007</v>
      </c>
      <c r="E178" s="356" t="s">
        <v>17</v>
      </c>
      <c r="F178" s="357">
        <v>18000</v>
      </c>
      <c r="G178" s="357">
        <f t="shared" si="2"/>
        <v>86400.000000000015</v>
      </c>
      <c r="H178" s="353"/>
      <c r="L178" s="485"/>
    </row>
    <row r="179" spans="1:12" s="223" customFormat="1" ht="16.5">
      <c r="A179" s="226"/>
      <c r="C179" s="354" t="s">
        <v>245</v>
      </c>
      <c r="D179" s="358">
        <f>2*6</f>
        <v>12</v>
      </c>
      <c r="E179" s="359" t="s">
        <v>14</v>
      </c>
      <c r="F179" s="360">
        <v>20000</v>
      </c>
      <c r="G179" s="360">
        <f t="shared" si="2"/>
        <v>240000</v>
      </c>
      <c r="H179" s="353"/>
      <c r="L179" s="485"/>
    </row>
    <row r="180" spans="1:12" s="223" customFormat="1" ht="16.5">
      <c r="A180" s="226"/>
      <c r="C180" s="354" t="s">
        <v>228</v>
      </c>
      <c r="D180" s="358">
        <f>D174*7.39</f>
        <v>206.92</v>
      </c>
      <c r="E180" s="359" t="s">
        <v>17</v>
      </c>
      <c r="F180" s="361">
        <v>3000</v>
      </c>
      <c r="G180" s="360">
        <f t="shared" si="2"/>
        <v>620760</v>
      </c>
      <c r="H180" s="353"/>
      <c r="L180" s="485"/>
    </row>
    <row r="181" spans="1:12" s="223" customFormat="1" ht="18">
      <c r="A181" s="226"/>
      <c r="C181" s="362" t="s">
        <v>229</v>
      </c>
      <c r="D181" s="358">
        <f>D169*1</f>
        <v>2.4000000000000004</v>
      </c>
      <c r="E181" s="359" t="s">
        <v>311</v>
      </c>
      <c r="F181" s="361">
        <v>300000</v>
      </c>
      <c r="G181" s="360">
        <f t="shared" si="2"/>
        <v>720000.00000000012</v>
      </c>
      <c r="H181" s="353"/>
      <c r="L181" s="485"/>
    </row>
    <row r="182" spans="1:12" s="223" customFormat="1" ht="16.5">
      <c r="A182" s="226"/>
      <c r="C182" s="1148" t="s">
        <v>246</v>
      </c>
      <c r="D182" s="1149"/>
      <c r="E182" s="1149"/>
      <c r="F182" s="1149"/>
      <c r="G182" s="364">
        <f>SUM(G171:G181)</f>
        <v>7628200</v>
      </c>
      <c r="H182" s="353">
        <f>G182/D169</f>
        <v>3178416.666666666</v>
      </c>
      <c r="L182" s="485"/>
    </row>
    <row r="183" spans="1:12" s="223" customFormat="1">
      <c r="A183" s="226"/>
      <c r="G183" s="225"/>
      <c r="H183" s="225"/>
      <c r="I183" s="225"/>
      <c r="L183" s="485"/>
    </row>
    <row r="184" spans="1:12" s="223" customFormat="1">
      <c r="A184" s="226"/>
      <c r="B184" s="223" t="s">
        <v>620</v>
      </c>
      <c r="L184" s="485"/>
    </row>
    <row r="185" spans="1:12" s="223" customFormat="1">
      <c r="A185" s="226"/>
      <c r="B185" s="339"/>
      <c r="L185" s="485"/>
    </row>
    <row r="188" spans="1:12" s="223" customFormat="1">
      <c r="A188" s="226"/>
      <c r="L188" s="485"/>
    </row>
    <row r="189" spans="1:12" s="223" customFormat="1">
      <c r="A189" s="226"/>
      <c r="G189" s="225"/>
      <c r="H189" s="225"/>
      <c r="I189" s="225"/>
      <c r="L189" s="485"/>
    </row>
    <row r="191" spans="1:12" s="223" customFormat="1">
      <c r="A191" s="226"/>
      <c r="B191" s="339"/>
      <c r="L191" s="485"/>
    </row>
    <row r="192" spans="1:12" s="223" customFormat="1">
      <c r="A192" s="226"/>
      <c r="B192" s="339"/>
      <c r="L192" s="485"/>
    </row>
    <row r="193" spans="1:12" s="223" customFormat="1">
      <c r="A193" s="226"/>
      <c r="B193" s="339"/>
      <c r="L193" s="485"/>
    </row>
    <row r="194" spans="1:12" s="223" customFormat="1">
      <c r="A194" s="226"/>
      <c r="B194" s="339"/>
      <c r="L194" s="485"/>
    </row>
    <row r="196" spans="1:12" s="223" customFormat="1">
      <c r="A196" s="226"/>
      <c r="L196" s="485"/>
    </row>
    <row r="197" spans="1:12" s="223" customFormat="1">
      <c r="A197" s="365"/>
      <c r="B197" s="366"/>
      <c r="C197" s="265"/>
      <c r="D197" s="265"/>
      <c r="L197" s="485"/>
    </row>
    <row r="198" spans="1:12" s="223" customFormat="1">
      <c r="A198" s="367"/>
      <c r="B198" s="330"/>
      <c r="C198" s="265"/>
      <c r="D198" s="265"/>
      <c r="L198" s="485"/>
    </row>
    <row r="199" spans="1:12" s="223" customFormat="1">
      <c r="A199" s="367"/>
      <c r="B199" s="330"/>
      <c r="C199" s="265"/>
      <c r="D199" s="265"/>
      <c r="L199" s="485"/>
    </row>
    <row r="200" spans="1:12" s="223" customFormat="1">
      <c r="A200" s="367"/>
      <c r="B200" s="330"/>
      <c r="C200" s="265"/>
      <c r="D200" s="265"/>
      <c r="L200" s="485"/>
    </row>
    <row r="201" spans="1:12" s="223" customFormat="1">
      <c r="A201" s="367"/>
      <c r="B201" s="330"/>
      <c r="C201" s="265"/>
      <c r="D201" s="265"/>
      <c r="L201" s="485"/>
    </row>
    <row r="202" spans="1:12" s="223" customFormat="1">
      <c r="A202" s="367"/>
      <c r="B202" s="330"/>
      <c r="C202" s="265"/>
      <c r="D202" s="265"/>
      <c r="L202" s="485"/>
    </row>
    <row r="203" spans="1:12" s="223" customFormat="1">
      <c r="A203" s="367"/>
      <c r="B203" s="330"/>
      <c r="C203" s="265"/>
      <c r="D203" s="265"/>
      <c r="L203" s="485"/>
    </row>
    <row r="204" spans="1:12" s="223" customFormat="1">
      <c r="A204" s="367"/>
      <c r="B204" s="330"/>
      <c r="C204" s="265"/>
      <c r="D204" s="265"/>
      <c r="L204" s="485"/>
    </row>
    <row r="205" spans="1:12" s="223" customFormat="1">
      <c r="A205" s="367"/>
      <c r="B205" s="330"/>
      <c r="C205" s="265"/>
      <c r="D205" s="265"/>
      <c r="L205" s="485"/>
    </row>
    <row r="206" spans="1:12" s="223" customFormat="1">
      <c r="A206" s="367"/>
      <c r="B206" s="330"/>
      <c r="C206" s="265"/>
      <c r="D206" s="265"/>
      <c r="I206" s="368"/>
      <c r="L206" s="485"/>
    </row>
    <row r="207" spans="1:12" s="223" customFormat="1">
      <c r="A207" s="367"/>
      <c r="B207" s="330"/>
      <c r="C207" s="265"/>
      <c r="D207" s="265"/>
      <c r="L207" s="485"/>
    </row>
    <row r="208" spans="1:12" s="223" customFormat="1">
      <c r="A208" s="367"/>
      <c r="B208" s="330"/>
      <c r="C208" s="265"/>
      <c r="D208" s="265"/>
      <c r="G208" s="369"/>
      <c r="H208" s="369"/>
      <c r="I208" s="369"/>
      <c r="L208" s="485"/>
    </row>
    <row r="209" spans="1:12" s="223" customFormat="1">
      <c r="A209" s="367"/>
      <c r="B209" s="330"/>
      <c r="C209" s="265"/>
      <c r="D209" s="265"/>
      <c r="L209" s="485"/>
    </row>
    <row r="210" spans="1:12" s="223" customFormat="1">
      <c r="A210" s="367"/>
      <c r="B210" s="330"/>
      <c r="C210" s="265"/>
      <c r="D210" s="265"/>
      <c r="L210" s="485"/>
    </row>
    <row r="211" spans="1:12" s="223" customFormat="1">
      <c r="A211" s="367"/>
      <c r="B211" s="330"/>
      <c r="C211" s="265"/>
      <c r="D211" s="265"/>
      <c r="L211" s="485"/>
    </row>
    <row r="212" spans="1:12" s="223" customFormat="1">
      <c r="A212" s="367"/>
      <c r="B212" s="330"/>
      <c r="C212" s="265"/>
      <c r="D212" s="265"/>
      <c r="L212" s="485"/>
    </row>
    <row r="213" spans="1:12" s="223" customFormat="1">
      <c r="A213" s="367"/>
      <c r="B213" s="330"/>
      <c r="C213" s="265"/>
      <c r="D213" s="265"/>
      <c r="L213" s="485"/>
    </row>
    <row r="214" spans="1:12" s="223" customFormat="1">
      <c r="A214" s="367"/>
      <c r="B214" s="330"/>
      <c r="C214" s="265"/>
      <c r="D214" s="265"/>
      <c r="L214" s="485"/>
    </row>
    <row r="215" spans="1:12" s="223" customFormat="1">
      <c r="A215" s="367"/>
      <c r="B215" s="330"/>
      <c r="C215" s="265"/>
      <c r="D215" s="265"/>
      <c r="L215" s="485"/>
    </row>
    <row r="216" spans="1:12" s="223" customFormat="1">
      <c r="A216" s="367"/>
      <c r="B216" s="330"/>
      <c r="C216" s="265"/>
      <c r="D216" s="265"/>
      <c r="G216" s="233"/>
      <c r="H216" s="233"/>
      <c r="I216" s="369"/>
      <c r="L216" s="485"/>
    </row>
    <row r="217" spans="1:12" s="223" customFormat="1">
      <c r="A217" s="367"/>
      <c r="B217" s="330"/>
      <c r="C217" s="265"/>
      <c r="D217" s="265"/>
      <c r="L217" s="485"/>
    </row>
    <row r="218" spans="1:12" s="223" customFormat="1">
      <c r="A218" s="367"/>
      <c r="B218" s="330"/>
      <c r="C218" s="265"/>
      <c r="D218" s="265"/>
      <c r="L218" s="485"/>
    </row>
    <row r="219" spans="1:12" s="223" customFormat="1">
      <c r="A219" s="367"/>
      <c r="B219" s="330"/>
      <c r="C219" s="265"/>
      <c r="D219" s="265"/>
      <c r="L219" s="485"/>
    </row>
    <row r="220" spans="1:12" s="223" customFormat="1">
      <c r="A220" s="367"/>
      <c r="B220" s="330"/>
      <c r="C220" s="265"/>
      <c r="D220" s="265"/>
      <c r="L220" s="485"/>
    </row>
    <row r="221" spans="1:12" s="223" customFormat="1">
      <c r="A221" s="367"/>
      <c r="B221" s="330"/>
      <c r="C221" s="265"/>
      <c r="D221" s="265"/>
      <c r="L221" s="485"/>
    </row>
    <row r="222" spans="1:12" s="223" customFormat="1">
      <c r="A222" s="367"/>
      <c r="B222" s="330"/>
      <c r="C222" s="265"/>
      <c r="D222" s="265"/>
      <c r="L222" s="485"/>
    </row>
    <row r="223" spans="1:12" s="223" customFormat="1">
      <c r="A223" s="367"/>
      <c r="B223" s="330"/>
      <c r="C223" s="265"/>
      <c r="D223" s="265"/>
      <c r="G223" s="233"/>
      <c r="H223" s="233"/>
      <c r="I223" s="369"/>
      <c r="L223" s="485"/>
    </row>
    <row r="224" spans="1:12" s="223" customFormat="1">
      <c r="A224" s="367"/>
      <c r="B224" s="330"/>
      <c r="C224" s="265"/>
      <c r="D224" s="265"/>
      <c r="L224" s="485"/>
    </row>
    <row r="225" spans="1:12" s="223" customFormat="1">
      <c r="A225" s="226"/>
      <c r="B225" s="265"/>
      <c r="C225" s="265"/>
      <c r="D225" s="265"/>
      <c r="L225" s="485"/>
    </row>
    <row r="226" spans="1:12" s="223" customFormat="1">
      <c r="A226" s="226"/>
      <c r="I226" s="368"/>
      <c r="L226" s="485"/>
    </row>
    <row r="227" spans="1:12" s="223" customFormat="1">
      <c r="A227" s="226"/>
      <c r="L227" s="485"/>
    </row>
    <row r="228" spans="1:12" s="223" customFormat="1">
      <c r="A228" s="226"/>
      <c r="L228" s="485"/>
    </row>
    <row r="229" spans="1:12" s="223" customFormat="1">
      <c r="A229" s="378"/>
      <c r="B229" s="366"/>
      <c r="C229" s="265"/>
      <c r="D229" s="265"/>
      <c r="E229" s="265"/>
      <c r="F229" s="265"/>
      <c r="L229" s="485"/>
    </row>
    <row r="230" spans="1:12" s="223" customFormat="1">
      <c r="A230" s="226"/>
      <c r="B230" s="330"/>
      <c r="C230" s="265"/>
      <c r="D230" s="265"/>
      <c r="E230" s="265"/>
      <c r="F230" s="265"/>
      <c r="L230" s="485"/>
    </row>
    <row r="231" spans="1:12" s="223" customFormat="1">
      <c r="A231" s="226"/>
      <c r="B231" s="343"/>
      <c r="C231" s="265"/>
      <c r="D231" s="265"/>
      <c r="E231" s="265"/>
      <c r="F231" s="265"/>
      <c r="L231" s="485"/>
    </row>
    <row r="232" spans="1:12" s="223" customFormat="1">
      <c r="A232" s="226"/>
      <c r="B232" s="330"/>
      <c r="C232" s="265"/>
      <c r="D232" s="265"/>
      <c r="E232" s="379"/>
      <c r="F232" s="380"/>
      <c r="G232" s="340"/>
      <c r="H232" s="340"/>
      <c r="I232" s="265"/>
      <c r="L232" s="485"/>
    </row>
    <row r="233" spans="1:12" s="223" customFormat="1">
      <c r="A233" s="226"/>
      <c r="B233" s="330"/>
      <c r="C233" s="265"/>
      <c r="D233" s="265"/>
      <c r="E233" s="379"/>
      <c r="F233" s="380"/>
      <c r="G233" s="340"/>
      <c r="H233" s="340"/>
      <c r="I233" s="265"/>
      <c r="L233" s="485"/>
    </row>
    <row r="234" spans="1:12" s="223" customFormat="1">
      <c r="A234" s="226"/>
      <c r="B234" s="330"/>
      <c r="C234" s="265"/>
      <c r="D234" s="265"/>
      <c r="E234" s="379"/>
      <c r="F234" s="380"/>
      <c r="G234" s="340"/>
      <c r="H234" s="340"/>
      <c r="I234" s="265"/>
      <c r="L234" s="485"/>
    </row>
    <row r="235" spans="1:12" s="223" customFormat="1">
      <c r="A235" s="226"/>
      <c r="B235" s="330"/>
      <c r="C235" s="265"/>
      <c r="D235" s="265"/>
      <c r="E235" s="379"/>
      <c r="F235" s="380"/>
      <c r="G235" s="340"/>
      <c r="H235" s="340"/>
      <c r="I235" s="265"/>
      <c r="L235" s="485"/>
    </row>
    <row r="236" spans="1:12" s="223" customFormat="1">
      <c r="A236" s="226"/>
      <c r="B236" s="343"/>
      <c r="C236" s="265"/>
      <c r="D236" s="265"/>
      <c r="E236" s="265"/>
      <c r="I236" s="265"/>
      <c r="L236" s="485"/>
    </row>
    <row r="237" spans="1:12" s="223" customFormat="1" ht="17.25">
      <c r="A237" s="226"/>
      <c r="B237" s="330"/>
      <c r="C237" s="265"/>
      <c r="D237" s="265"/>
      <c r="E237" s="265"/>
      <c r="G237" s="340"/>
      <c r="H237" s="340"/>
      <c r="I237" s="264"/>
      <c r="L237" s="485"/>
    </row>
    <row r="238" spans="1:12" s="223" customFormat="1" ht="17.25">
      <c r="A238" s="226"/>
      <c r="B238" s="330"/>
      <c r="C238" s="265"/>
      <c r="D238" s="265"/>
      <c r="E238" s="265"/>
      <c r="G238" s="340"/>
      <c r="H238" s="340"/>
      <c r="I238" s="264"/>
      <c r="L238" s="485"/>
    </row>
    <row r="239" spans="1:12" s="223" customFormat="1">
      <c r="A239" s="226"/>
      <c r="B239" s="330"/>
      <c r="C239" s="265"/>
      <c r="D239" s="265"/>
      <c r="E239" s="265"/>
      <c r="G239" s="340"/>
      <c r="H239" s="340"/>
      <c r="I239" s="265"/>
      <c r="L239" s="485"/>
    </row>
    <row r="240" spans="1:12" s="223" customFormat="1" ht="17.25">
      <c r="A240" s="226"/>
      <c r="B240" s="330"/>
      <c r="C240" s="265"/>
      <c r="D240" s="265"/>
      <c r="E240" s="265"/>
      <c r="F240" s="265"/>
      <c r="G240" s="382"/>
      <c r="H240" s="382"/>
      <c r="L240" s="485"/>
    </row>
    <row r="241" spans="1:12" s="223" customFormat="1">
      <c r="A241" s="226"/>
      <c r="B241" s="330"/>
      <c r="C241" s="265"/>
      <c r="D241" s="265"/>
      <c r="E241" s="265"/>
      <c r="F241" s="265"/>
      <c r="G241" s="342"/>
      <c r="H241" s="342"/>
      <c r="L241" s="485"/>
    </row>
    <row r="242" spans="1:12" s="223" customFormat="1">
      <c r="A242" s="226"/>
      <c r="B242" s="330"/>
      <c r="C242" s="265"/>
      <c r="D242" s="265"/>
      <c r="E242" s="265"/>
      <c r="F242" s="265"/>
      <c r="L242" s="485"/>
    </row>
    <row r="243" spans="1:12" s="223" customFormat="1">
      <c r="A243" s="226"/>
      <c r="B243" s="330"/>
      <c r="C243" s="265"/>
      <c r="D243" s="265"/>
      <c r="E243" s="265"/>
      <c r="F243" s="265"/>
      <c r="L243" s="485"/>
    </row>
    <row r="244" spans="1:12" s="223" customFormat="1">
      <c r="A244" s="226"/>
      <c r="B244" s="343"/>
      <c r="C244" s="265"/>
      <c r="D244" s="265"/>
      <c r="E244" s="265"/>
      <c r="F244" s="265"/>
      <c r="L244" s="485"/>
    </row>
    <row r="245" spans="1:12" s="223" customFormat="1">
      <c r="A245" s="226"/>
      <c r="B245" s="330"/>
      <c r="C245" s="265"/>
      <c r="D245" s="265"/>
      <c r="E245" s="265"/>
      <c r="F245" s="265"/>
      <c r="L245" s="485"/>
    </row>
    <row r="246" spans="1:12" s="223" customFormat="1">
      <c r="A246" s="226"/>
      <c r="B246" s="330"/>
      <c r="C246" s="265"/>
      <c r="D246" s="265"/>
      <c r="E246" s="265"/>
      <c r="F246" s="265"/>
      <c r="L246" s="485"/>
    </row>
    <row r="247" spans="1:12" s="223" customFormat="1">
      <c r="A247" s="367"/>
      <c r="B247" s="330"/>
      <c r="J247" s="225"/>
      <c r="L247" s="485"/>
    </row>
    <row r="248" spans="1:12" s="223" customFormat="1">
      <c r="A248" s="367"/>
      <c r="B248" s="330"/>
      <c r="L248" s="485"/>
    </row>
    <row r="249" spans="1:12" s="223" customFormat="1">
      <c r="A249" s="367"/>
      <c r="B249" s="330"/>
      <c r="L249" s="485"/>
    </row>
    <row r="250" spans="1:12" s="223" customFormat="1">
      <c r="A250" s="367"/>
      <c r="B250" s="330"/>
      <c r="I250" s="340"/>
      <c r="J250" s="340"/>
      <c r="L250" s="485"/>
    </row>
    <row r="251" spans="1:12" s="223" customFormat="1">
      <c r="A251" s="367"/>
      <c r="B251" s="330"/>
      <c r="I251" s="392"/>
      <c r="J251" s="340"/>
      <c r="L251" s="485"/>
    </row>
    <row r="252" spans="1:12" s="223" customFormat="1" ht="17.25">
      <c r="A252" s="367"/>
      <c r="B252" s="330"/>
      <c r="I252" s="368"/>
      <c r="J252" s="382"/>
      <c r="L252" s="485"/>
    </row>
    <row r="253" spans="1:12" s="223" customFormat="1">
      <c r="A253" s="367"/>
      <c r="J253" s="225"/>
      <c r="L253" s="485"/>
    </row>
    <row r="254" spans="1:12" s="223" customFormat="1">
      <c r="A254" s="367"/>
      <c r="B254" s="330"/>
      <c r="J254" s="368"/>
      <c r="L254" s="485"/>
    </row>
    <row r="255" spans="1:12" s="223" customFormat="1">
      <c r="A255" s="367"/>
      <c r="B255" s="330"/>
      <c r="J255" s="368"/>
      <c r="L255" s="485"/>
    </row>
    <row r="256" spans="1:12" s="223" customFormat="1">
      <c r="A256" s="367"/>
      <c r="B256" s="330"/>
      <c r="J256" s="368"/>
      <c r="L256" s="485"/>
    </row>
    <row r="257" spans="1:12" s="223" customFormat="1">
      <c r="A257" s="367"/>
      <c r="B257" s="330"/>
      <c r="J257" s="368"/>
      <c r="L257" s="485"/>
    </row>
    <row r="258" spans="1:12" s="223" customFormat="1">
      <c r="A258" s="367"/>
      <c r="B258" s="330"/>
      <c r="J258" s="368"/>
      <c r="L258" s="485"/>
    </row>
    <row r="259" spans="1:12" s="223" customFormat="1">
      <c r="A259" s="367"/>
      <c r="B259" s="330"/>
      <c r="L259" s="485"/>
    </row>
    <row r="260" spans="1:12" s="223" customFormat="1">
      <c r="A260" s="367"/>
      <c r="B260" s="330"/>
      <c r="L260" s="485"/>
    </row>
    <row r="261" spans="1:12" s="223" customFormat="1">
      <c r="A261" s="367"/>
      <c r="B261" s="343"/>
      <c r="L261" s="485"/>
    </row>
    <row r="262" spans="1:12">
      <c r="A262" s="367"/>
      <c r="B262" s="330"/>
    </row>
    <row r="263" spans="1:12" ht="17.25">
      <c r="A263" s="367"/>
      <c r="B263" s="330"/>
      <c r="I263" s="341"/>
    </row>
    <row r="264" spans="1:12">
      <c r="A264" s="367"/>
      <c r="B264" s="330"/>
      <c r="I264" s="368"/>
    </row>
    <row r="265" spans="1:12">
      <c r="A265" s="367"/>
      <c r="B265" s="330"/>
    </row>
    <row r="266" spans="1:12">
      <c r="A266" s="367"/>
      <c r="B266" s="330"/>
    </row>
    <row r="267" spans="1:12">
      <c r="A267" s="367"/>
      <c r="B267" s="330"/>
      <c r="I267" s="225"/>
      <c r="J267" s="225"/>
      <c r="K267" s="225"/>
      <c r="L267" s="557"/>
    </row>
    <row r="268" spans="1:12">
      <c r="A268" s="367"/>
      <c r="B268" s="343"/>
    </row>
    <row r="269" spans="1:12">
      <c r="A269" s="367"/>
      <c r="B269" s="330"/>
    </row>
    <row r="270" spans="1:12">
      <c r="B270" s="330"/>
    </row>
    <row r="271" spans="1:12">
      <c r="B271" s="330"/>
    </row>
    <row r="272" spans="1:12">
      <c r="B272" s="330"/>
      <c r="I272" s="225"/>
      <c r="J272" s="225"/>
      <c r="K272" s="225"/>
      <c r="L272" s="557"/>
    </row>
    <row r="276" spans="9:11" ht="17.25">
      <c r="J276" s="341"/>
    </row>
    <row r="278" spans="9:11">
      <c r="I278" s="225"/>
      <c r="J278" s="225"/>
    </row>
    <row r="283" spans="9:11" ht="17.25">
      <c r="J283" s="341"/>
    </row>
    <row r="284" spans="9:11">
      <c r="I284" s="225"/>
      <c r="J284" s="225"/>
    </row>
    <row r="285" spans="9:11">
      <c r="I285" s="413"/>
      <c r="J285" s="412"/>
      <c r="K285" s="413"/>
    </row>
    <row r="287" spans="9:11">
      <c r="I287" s="225"/>
    </row>
    <row r="290" spans="9:12" ht="17.25">
      <c r="J290" s="341"/>
    </row>
    <row r="291" spans="9:12">
      <c r="I291" s="225"/>
      <c r="J291" s="225"/>
    </row>
    <row r="292" spans="9:12">
      <c r="I292" s="413"/>
      <c r="J292" s="412"/>
      <c r="K292" s="412"/>
      <c r="L292" s="557"/>
    </row>
    <row r="296" spans="9:12">
      <c r="I296" s="225"/>
    </row>
    <row r="297" spans="9:12" ht="17.25">
      <c r="I297" s="225"/>
      <c r="J297" s="341"/>
    </row>
    <row r="298" spans="9:12">
      <c r="I298" s="225"/>
      <c r="J298" s="225"/>
    </row>
    <row r="301" spans="9:12" ht="17.25">
      <c r="J301" s="341"/>
    </row>
    <row r="302" spans="9:12">
      <c r="I302" s="225"/>
      <c r="J302" s="225"/>
    </row>
    <row r="303" spans="9:12">
      <c r="I303" s="413"/>
      <c r="J303" s="412"/>
      <c r="K303" s="412"/>
      <c r="L303" s="557"/>
    </row>
    <row r="305" spans="9:12">
      <c r="I305" s="225"/>
    </row>
    <row r="306" spans="9:12">
      <c r="I306" s="225"/>
    </row>
    <row r="307" spans="9:12">
      <c r="I307" s="225"/>
      <c r="J307" s="225"/>
    </row>
    <row r="309" spans="9:12" ht="17.25">
      <c r="J309" s="341"/>
    </row>
    <row r="310" spans="9:12">
      <c r="I310" s="225"/>
      <c r="J310" s="225"/>
    </row>
    <row r="311" spans="9:12">
      <c r="I311" s="413"/>
      <c r="J311" s="412"/>
      <c r="K311" s="412"/>
      <c r="L311" s="557"/>
    </row>
  </sheetData>
  <mergeCells count="3">
    <mergeCell ref="C167:F167"/>
    <mergeCell ref="C182:F182"/>
    <mergeCell ref="J16:M1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BC6D6F-B7F2-4626-9871-E2F1B66C6ACE}">
  <dimension ref="A1:P151"/>
  <sheetViews>
    <sheetView topLeftCell="A73" zoomScale="94" workbookViewId="0">
      <selection activeCell="B93" sqref="B93"/>
    </sheetView>
  </sheetViews>
  <sheetFormatPr defaultColWidth="9.140625" defaultRowHeight="15.75"/>
  <cols>
    <col min="1" max="1" width="6.42578125" style="902" customWidth="1"/>
    <col min="2" max="2" width="26.140625" style="558" customWidth="1"/>
    <col min="3" max="5" width="10.85546875" style="558" customWidth="1"/>
    <col min="6" max="6" width="10.5703125" style="558" customWidth="1"/>
    <col min="7" max="7" width="7.42578125" style="559" bestFit="1" customWidth="1"/>
    <col min="8" max="8" width="10.5703125" style="558" bestFit="1" customWidth="1"/>
    <col min="9" max="9" width="14.140625" style="560" customWidth="1"/>
    <col min="10" max="10" width="15.5703125" style="558" customWidth="1"/>
    <col min="11" max="13" width="9.140625" style="558"/>
    <col min="14" max="14" width="14.140625" style="558" customWidth="1"/>
    <col min="15" max="15" width="12.85546875" style="558" bestFit="1" customWidth="1"/>
    <col min="16" max="16" width="19" style="558" customWidth="1"/>
    <col min="17" max="16384" width="9.140625" style="558"/>
  </cols>
  <sheetData>
    <row r="1" spans="1:10">
      <c r="A1" s="888"/>
    </row>
    <row r="2" spans="1:10">
      <c r="A2" s="889"/>
      <c r="B2" s="415"/>
      <c r="C2" s="415"/>
      <c r="D2" s="415"/>
      <c r="E2" s="415"/>
      <c r="F2" s="415"/>
      <c r="G2" s="272"/>
      <c r="H2" s="415"/>
      <c r="I2" s="416"/>
      <c r="J2" s="415"/>
    </row>
    <row r="3" spans="1:10">
      <c r="A3" s="890" t="s">
        <v>0</v>
      </c>
      <c r="B3" s="414"/>
      <c r="C3" s="414"/>
      <c r="D3" s="414"/>
      <c r="E3" s="414"/>
      <c r="F3" s="414"/>
      <c r="G3" s="417"/>
      <c r="H3" s="417"/>
      <c r="I3" s="418"/>
      <c r="J3" s="419"/>
    </row>
    <row r="4" spans="1:10">
      <c r="A4" s="891" t="s">
        <v>610</v>
      </c>
      <c r="B4" s="414"/>
      <c r="C4" s="414"/>
      <c r="D4" s="414"/>
      <c r="E4" s="414"/>
      <c r="F4" s="414"/>
      <c r="G4" s="417"/>
      <c r="H4" s="417"/>
      <c r="I4" s="418"/>
      <c r="J4" s="419"/>
    </row>
    <row r="5" spans="1:10">
      <c r="A5" s="892" t="s">
        <v>1</v>
      </c>
      <c r="B5" s="414"/>
      <c r="C5" s="414"/>
      <c r="D5" s="414"/>
      <c r="E5" s="414"/>
      <c r="F5" s="414"/>
      <c r="G5" s="272"/>
      <c r="H5" s="415"/>
      <c r="I5" s="418"/>
      <c r="J5" s="419"/>
    </row>
    <row r="6" spans="1:10">
      <c r="A6" s="890" t="s">
        <v>2</v>
      </c>
      <c r="B6" s="414"/>
      <c r="C6" s="414"/>
      <c r="D6" s="414"/>
      <c r="E6" s="414"/>
      <c r="F6" s="414"/>
      <c r="G6" s="417"/>
      <c r="H6" s="417"/>
      <c r="I6" s="418"/>
      <c r="J6" s="419"/>
    </row>
    <row r="7" spans="1:10">
      <c r="A7" s="892" t="s">
        <v>3</v>
      </c>
      <c r="B7" s="414"/>
      <c r="C7" s="414"/>
      <c r="D7" s="414"/>
      <c r="E7" s="414"/>
      <c r="F7" s="414"/>
      <c r="G7" s="417"/>
      <c r="H7" s="417"/>
      <c r="I7" s="418"/>
      <c r="J7" s="419"/>
    </row>
    <row r="8" spans="1:10" ht="16.5" thickBot="1">
      <c r="A8" s="893"/>
      <c r="B8" s="1"/>
      <c r="C8" s="1"/>
      <c r="D8" s="1"/>
      <c r="E8" s="1"/>
      <c r="F8" s="1"/>
      <c r="G8" s="1"/>
      <c r="H8" s="1136" t="s">
        <v>612</v>
      </c>
      <c r="I8" s="1136"/>
      <c r="J8" s="1136"/>
    </row>
    <row r="9" spans="1:10" ht="16.5" thickTop="1">
      <c r="A9" s="894"/>
      <c r="B9" s="9"/>
      <c r="C9" s="9"/>
      <c r="D9" s="9"/>
      <c r="E9" s="9"/>
      <c r="F9" s="9"/>
      <c r="G9" s="10"/>
      <c r="H9" s="11"/>
      <c r="I9" s="12" t="s">
        <v>4</v>
      </c>
      <c r="J9" s="13" t="s">
        <v>5</v>
      </c>
    </row>
    <row r="10" spans="1:10" ht="15.6" customHeight="1">
      <c r="A10" s="895" t="s">
        <v>6</v>
      </c>
      <c r="B10" s="15" t="s">
        <v>7</v>
      </c>
      <c r="C10" s="15"/>
      <c r="D10" s="15"/>
      <c r="E10" s="15"/>
      <c r="F10" s="15"/>
      <c r="G10" s="16" t="s">
        <v>8</v>
      </c>
      <c r="H10" s="17" t="s">
        <v>9</v>
      </c>
      <c r="I10" s="18" t="s">
        <v>8</v>
      </c>
      <c r="J10" s="19" t="s">
        <v>4</v>
      </c>
    </row>
    <row r="11" spans="1:10" ht="16.5" thickBot="1">
      <c r="A11" s="896"/>
      <c r="B11" s="21"/>
      <c r="C11" s="21"/>
      <c r="D11" s="21"/>
      <c r="E11" s="21"/>
      <c r="F11" s="21"/>
      <c r="G11" s="22"/>
      <c r="H11" s="23"/>
      <c r="I11" s="24" t="s">
        <v>10</v>
      </c>
      <c r="J11" s="25" t="s">
        <v>10</v>
      </c>
    </row>
    <row r="12" spans="1:10" ht="16.5" thickTop="1">
      <c r="A12" s="897"/>
      <c r="B12" s="562"/>
      <c r="C12" s="563"/>
      <c r="D12" s="563"/>
      <c r="E12" s="563"/>
      <c r="F12" s="564"/>
      <c r="H12" s="565"/>
      <c r="I12" s="566"/>
      <c r="J12" s="567"/>
    </row>
    <row r="13" spans="1:10">
      <c r="A13" s="898" t="s">
        <v>339</v>
      </c>
      <c r="B13" s="568" t="s">
        <v>340</v>
      </c>
      <c r="C13" s="569"/>
      <c r="D13" s="569"/>
      <c r="E13" s="569"/>
      <c r="F13" s="570"/>
      <c r="H13" s="571"/>
      <c r="I13" s="572"/>
      <c r="J13" s="573"/>
    </row>
    <row r="14" spans="1:10">
      <c r="A14" s="897">
        <v>1</v>
      </c>
      <c r="B14" s="434" t="str">
        <f>[80]Sheet1!$B$3</f>
        <v xml:space="preserve">Pembersihan awal dan Selama Proyek Berjalan </v>
      </c>
      <c r="F14" s="575"/>
      <c r="G14" s="559" t="s">
        <v>357</v>
      </c>
      <c r="H14" s="453">
        <v>1</v>
      </c>
      <c r="I14" s="572">
        <f>[80]Sheet1!$D$3</f>
        <v>1000000</v>
      </c>
      <c r="J14" s="455">
        <f>H14*I14</f>
        <v>1000000</v>
      </c>
    </row>
    <row r="15" spans="1:10">
      <c r="A15" s="897">
        <f>A14+1</f>
        <v>2</v>
      </c>
      <c r="B15" s="434" t="str">
        <f>[80]Sheet1!$B$4</f>
        <v>Pembersihan akhir sampah dll</v>
      </c>
      <c r="F15" s="575"/>
      <c r="G15" s="559" t="s">
        <v>357</v>
      </c>
      <c r="H15" s="453">
        <v>1</v>
      </c>
      <c r="I15" s="572">
        <f>[80]Sheet1!$D$4</f>
        <v>1000000</v>
      </c>
      <c r="J15" s="455">
        <f>H15*I15</f>
        <v>1000000</v>
      </c>
    </row>
    <row r="16" spans="1:10">
      <c r="A16" s="897">
        <f>A15+1</f>
        <v>3</v>
      </c>
      <c r="B16" s="1113" t="str">
        <f>[80]Sheet1!$B$5</f>
        <v>Survey</v>
      </c>
      <c r="F16" s="575"/>
      <c r="G16" s="559" t="s">
        <v>357</v>
      </c>
      <c r="H16" s="453">
        <v>1</v>
      </c>
      <c r="I16" s="572">
        <f>[80]Sheet1!$D$5</f>
        <v>2000000</v>
      </c>
      <c r="J16" s="455">
        <f>H16*I16</f>
        <v>2000000</v>
      </c>
    </row>
    <row r="17" spans="1:10">
      <c r="A17" s="897">
        <f>A16+1</f>
        <v>4</v>
      </c>
      <c r="B17" s="1113" t="str">
        <f>[80]Sheet1!$B$6</f>
        <v>Pembuatan gambar teknis</v>
      </c>
      <c r="F17" s="575"/>
      <c r="G17" s="559" t="s">
        <v>357</v>
      </c>
      <c r="H17" s="453">
        <v>1</v>
      </c>
      <c r="I17" s="572">
        <f>[80]Sheet1!$D$6</f>
        <v>1000000</v>
      </c>
      <c r="J17" s="455">
        <f>H17*I17</f>
        <v>1000000</v>
      </c>
    </row>
    <row r="18" spans="1:10">
      <c r="A18" s="897">
        <f>A17+1</f>
        <v>5</v>
      </c>
      <c r="B18" s="574"/>
      <c r="F18" s="575"/>
      <c r="H18" s="453">
        <v>0</v>
      </c>
      <c r="I18" s="572">
        <v>0</v>
      </c>
      <c r="J18" s="455">
        <f>H18*I18</f>
        <v>0</v>
      </c>
    </row>
    <row r="19" spans="1:10">
      <c r="A19" s="897"/>
      <c r="B19" s="574"/>
      <c r="F19" s="575"/>
      <c r="H19" s="453"/>
      <c r="I19" s="572"/>
      <c r="J19" s="455"/>
    </row>
    <row r="20" spans="1:10">
      <c r="A20" s="897"/>
      <c r="B20" s="574"/>
      <c r="F20" s="575"/>
      <c r="H20" s="453"/>
      <c r="I20" s="577" t="s">
        <v>348</v>
      </c>
      <c r="J20" s="578">
        <f>SUM(J14:J18)</f>
        <v>5000000</v>
      </c>
    </row>
    <row r="21" spans="1:10">
      <c r="A21" s="898" t="s">
        <v>349</v>
      </c>
      <c r="B21" s="568" t="s">
        <v>1009</v>
      </c>
      <c r="C21" s="569"/>
      <c r="D21" s="569"/>
      <c r="E21" s="569"/>
      <c r="F21" s="570"/>
      <c r="H21" s="453"/>
      <c r="I21" s="572"/>
      <c r="J21" s="455"/>
    </row>
    <row r="22" spans="1:10">
      <c r="A22" s="897">
        <v>1</v>
      </c>
      <c r="B22" s="1157" t="str">
        <f>[80]Sheet1!$B$37</f>
        <v>Rumah Kabel</v>
      </c>
      <c r="F22" s="575"/>
      <c r="G22" s="272" t="s">
        <v>1014</v>
      </c>
      <c r="H22" s="453">
        <v>20</v>
      </c>
      <c r="I22" s="572">
        <f>[80]Sheet1!$D$37</f>
        <v>1500000</v>
      </c>
      <c r="J22" s="455">
        <f>H22*I22</f>
        <v>30000000</v>
      </c>
    </row>
    <row r="23" spans="1:10">
      <c r="A23" s="897">
        <f>A22+1</f>
        <v>2</v>
      </c>
      <c r="B23" s="1114" t="str">
        <f>[80]Sheet1!$B$38</f>
        <v>paku-paku &amp; Klem</v>
      </c>
      <c r="F23" s="575"/>
      <c r="G23" s="272" t="s">
        <v>1015</v>
      </c>
      <c r="H23" s="453">
        <v>7</v>
      </c>
      <c r="I23" s="572">
        <f>[80]Sheet1!$D$38</f>
        <v>2000000</v>
      </c>
      <c r="J23" s="455">
        <f>H23*I23</f>
        <v>14000000</v>
      </c>
    </row>
    <row r="24" spans="1:10">
      <c r="A24" s="897">
        <f>A23+1</f>
        <v>3</v>
      </c>
      <c r="B24" s="574"/>
      <c r="F24" s="575"/>
      <c r="G24" s="272"/>
      <c r="H24" s="453">
        <v>0</v>
      </c>
      <c r="I24" s="572">
        <v>0</v>
      </c>
      <c r="J24" s="455">
        <f>H24*I24</f>
        <v>0</v>
      </c>
    </row>
    <row r="25" spans="1:10">
      <c r="A25" s="897"/>
      <c r="B25" s="574"/>
      <c r="F25" s="575"/>
      <c r="H25" s="453"/>
      <c r="I25" s="572"/>
      <c r="J25" s="455"/>
    </row>
    <row r="26" spans="1:10">
      <c r="A26" s="897"/>
      <c r="B26" s="574"/>
      <c r="F26" s="575"/>
      <c r="H26" s="453"/>
      <c r="I26" s="577" t="s">
        <v>353</v>
      </c>
      <c r="J26" s="578">
        <f>SUM(J22:J25)</f>
        <v>44000000</v>
      </c>
    </row>
    <row r="27" spans="1:10">
      <c r="A27" s="898" t="s">
        <v>354</v>
      </c>
      <c r="B27" s="568" t="s">
        <v>1011</v>
      </c>
      <c r="C27" s="569"/>
      <c r="D27" s="569"/>
      <c r="E27" s="569"/>
      <c r="F27" s="570"/>
      <c r="H27" s="453"/>
      <c r="I27" s="572"/>
      <c r="J27" s="455"/>
    </row>
    <row r="28" spans="1:10">
      <c r="A28" s="897">
        <v>1</v>
      </c>
      <c r="B28" s="1114" t="str">
        <f>[80]Sheet1!$B$8</f>
        <v> Kabel UTP</v>
      </c>
      <c r="F28" s="575"/>
      <c r="G28" s="272" t="s">
        <v>1006</v>
      </c>
      <c r="H28" s="453">
        <v>7</v>
      </c>
      <c r="I28" s="572">
        <f>[80]Sheet1!$D$8</f>
        <v>2000000</v>
      </c>
      <c r="J28" s="455">
        <f t="shared" ref="J28:J35" si="0">H28*I28</f>
        <v>14000000</v>
      </c>
    </row>
    <row r="29" spans="1:10">
      <c r="A29" s="897">
        <f t="shared" ref="A29:A35" si="1">A28+1</f>
        <v>2</v>
      </c>
      <c r="B29" s="1114" t="str">
        <f>[80]Sheet1!$B$9</f>
        <v>Konektor RJ-45</v>
      </c>
      <c r="F29" s="575"/>
      <c r="G29" s="272" t="s">
        <v>1013</v>
      </c>
      <c r="H29" s="453">
        <v>20</v>
      </c>
      <c r="I29" s="572">
        <f>[80]Sheet1!$D$9</f>
        <v>1500000</v>
      </c>
      <c r="J29" s="455">
        <f t="shared" si="0"/>
        <v>30000000</v>
      </c>
    </row>
    <row r="30" spans="1:10">
      <c r="A30" s="897">
        <f t="shared" si="1"/>
        <v>3</v>
      </c>
      <c r="B30" s="1114" t="str">
        <f>[80]Sheet1!$B$10</f>
        <v>Kartu Jaringan (LAN Card)</v>
      </c>
      <c r="C30" s="579"/>
      <c r="D30" s="579"/>
      <c r="E30" s="579"/>
      <c r="F30" s="580"/>
      <c r="G30" s="272" t="s">
        <v>392</v>
      </c>
      <c r="H30" s="453">
        <v>0</v>
      </c>
      <c r="I30" s="572">
        <f>[80]Sheet1!$D$10</f>
        <v>1500000</v>
      </c>
      <c r="J30" s="455">
        <f t="shared" si="0"/>
        <v>0</v>
      </c>
    </row>
    <row r="31" spans="1:10">
      <c r="A31" s="897">
        <f t="shared" si="1"/>
        <v>4</v>
      </c>
      <c r="B31" s="1114" t="str">
        <f>[80]Sheet1!$B$11</f>
        <v>Switch / Hub Managable</v>
      </c>
      <c r="C31" s="579"/>
      <c r="D31" s="579"/>
      <c r="E31" s="579"/>
      <c r="F31" s="580"/>
      <c r="G31" s="272" t="s">
        <v>392</v>
      </c>
      <c r="H31" s="453">
        <v>1</v>
      </c>
      <c r="I31" s="572">
        <f>[80]Sheet1!$D$11</f>
        <v>10000000</v>
      </c>
      <c r="J31" s="455">
        <f t="shared" si="0"/>
        <v>10000000</v>
      </c>
    </row>
    <row r="32" spans="1:10">
      <c r="A32" s="897">
        <f t="shared" si="1"/>
        <v>5</v>
      </c>
      <c r="B32" s="1114" t="str">
        <f>[80]Sheet1!$B$12</f>
        <v>Alat dukung</v>
      </c>
      <c r="F32" s="575"/>
      <c r="G32" s="272" t="s">
        <v>392</v>
      </c>
      <c r="H32" s="581">
        <v>1</v>
      </c>
      <c r="I32" s="582">
        <f>[80]Sheet1!$D$12</f>
        <v>500000</v>
      </c>
      <c r="J32" s="455">
        <f t="shared" si="0"/>
        <v>500000</v>
      </c>
    </row>
    <row r="33" spans="1:14">
      <c r="A33" s="897">
        <f t="shared" si="1"/>
        <v>6</v>
      </c>
      <c r="B33" s="456"/>
      <c r="C33" s="457"/>
      <c r="D33" s="457"/>
      <c r="E33" s="457"/>
      <c r="F33" s="458"/>
      <c r="H33" s="453">
        <v>0</v>
      </c>
      <c r="I33" s="572">
        <v>0</v>
      </c>
      <c r="J33" s="455">
        <f t="shared" si="0"/>
        <v>0</v>
      </c>
    </row>
    <row r="34" spans="1:14">
      <c r="A34" s="897">
        <f t="shared" si="1"/>
        <v>7</v>
      </c>
      <c r="B34" s="456"/>
      <c r="C34" s="457"/>
      <c r="D34" s="457"/>
      <c r="E34" s="457"/>
      <c r="F34" s="458"/>
      <c r="H34" s="453">
        <v>0</v>
      </c>
      <c r="I34" s="572">
        <v>0</v>
      </c>
      <c r="J34" s="455">
        <f t="shared" si="0"/>
        <v>0</v>
      </c>
    </row>
    <row r="35" spans="1:14">
      <c r="A35" s="897">
        <f t="shared" si="1"/>
        <v>8</v>
      </c>
      <c r="B35" s="574"/>
      <c r="F35" s="575"/>
      <c r="H35" s="453">
        <v>0</v>
      </c>
      <c r="I35" s="572">
        <v>0</v>
      </c>
      <c r="J35" s="455">
        <f t="shared" si="0"/>
        <v>0</v>
      </c>
    </row>
    <row r="36" spans="1:14">
      <c r="A36" s="897"/>
      <c r="B36" s="574"/>
      <c r="F36" s="575"/>
      <c r="H36" s="453"/>
      <c r="I36" s="572"/>
      <c r="J36" s="455"/>
    </row>
    <row r="37" spans="1:14">
      <c r="A37" s="897"/>
      <c r="B37" s="574"/>
      <c r="F37" s="575"/>
      <c r="H37" s="453"/>
      <c r="I37" s="577" t="s">
        <v>358</v>
      </c>
      <c r="J37" s="578">
        <f>SUM(J28:J36)</f>
        <v>54500000</v>
      </c>
    </row>
    <row r="38" spans="1:14">
      <c r="A38" s="898" t="s">
        <v>359</v>
      </c>
      <c r="B38" s="568" t="s">
        <v>62</v>
      </c>
      <c r="C38" s="569"/>
      <c r="D38" s="569"/>
      <c r="E38" s="569"/>
      <c r="F38" s="570"/>
      <c r="H38" s="453"/>
      <c r="I38" s="572"/>
      <c r="J38" s="455"/>
    </row>
    <row r="39" spans="1:14">
      <c r="A39" s="897">
        <v>1</v>
      </c>
      <c r="B39" s="574"/>
      <c r="F39" s="575"/>
      <c r="H39" s="583">
        <v>0</v>
      </c>
      <c r="I39" s="582">
        <v>0</v>
      </c>
      <c r="J39" s="455">
        <f>H39*I39</f>
        <v>0</v>
      </c>
    </row>
    <row r="40" spans="1:14">
      <c r="A40" s="897"/>
      <c r="B40" s="574"/>
      <c r="F40" s="575"/>
      <c r="H40" s="583"/>
      <c r="I40" s="582"/>
      <c r="J40" s="455"/>
    </row>
    <row r="41" spans="1:14">
      <c r="A41" s="897"/>
      <c r="B41" s="574"/>
      <c r="F41" s="575"/>
      <c r="H41" s="453"/>
      <c r="I41" s="577" t="s">
        <v>361</v>
      </c>
      <c r="J41" s="578">
        <f>SUM(J39:J39)</f>
        <v>0</v>
      </c>
    </row>
    <row r="42" spans="1:14">
      <c r="A42" s="898" t="s">
        <v>362</v>
      </c>
      <c r="B42" s="568" t="s">
        <v>62</v>
      </c>
      <c r="C42" s="569"/>
      <c r="D42" s="569"/>
      <c r="E42" s="569"/>
      <c r="F42" s="570"/>
      <c r="H42" s="453"/>
      <c r="I42" s="572"/>
      <c r="J42" s="455"/>
    </row>
    <row r="43" spans="1:14">
      <c r="A43" s="897">
        <v>1</v>
      </c>
      <c r="B43" s="574"/>
      <c r="F43" s="575"/>
      <c r="H43" s="584">
        <v>0</v>
      </c>
      <c r="I43" s="572">
        <v>0</v>
      </c>
      <c r="J43" s="455">
        <f>H43*I43</f>
        <v>0</v>
      </c>
    </row>
    <row r="44" spans="1:14">
      <c r="A44" s="897">
        <v>2</v>
      </c>
      <c r="B44" s="574"/>
      <c r="F44" s="575"/>
      <c r="H44" s="453">
        <v>0</v>
      </c>
      <c r="I44" s="572">
        <v>0</v>
      </c>
      <c r="J44" s="455">
        <f>H44*I44</f>
        <v>0</v>
      </c>
    </row>
    <row r="45" spans="1:14">
      <c r="A45" s="899"/>
      <c r="B45" s="574"/>
      <c r="F45" s="575"/>
      <c r="H45" s="453"/>
      <c r="I45" s="572"/>
      <c r="J45" s="455"/>
    </row>
    <row r="46" spans="1:14">
      <c r="A46" s="897"/>
      <c r="B46" s="574"/>
      <c r="F46" s="575"/>
      <c r="H46" s="453"/>
      <c r="I46" s="577" t="s">
        <v>365</v>
      </c>
      <c r="J46" s="578">
        <f>SUM(J43:J44)</f>
        <v>0</v>
      </c>
      <c r="N46" s="585"/>
    </row>
    <row r="47" spans="1:14">
      <c r="A47" s="898" t="s">
        <v>366</v>
      </c>
      <c r="B47" s="568" t="s">
        <v>1012</v>
      </c>
      <c r="C47" s="569"/>
      <c r="D47" s="569"/>
      <c r="E47" s="569"/>
      <c r="F47" s="570"/>
      <c r="H47" s="453"/>
      <c r="I47" s="572"/>
      <c r="J47" s="455"/>
    </row>
    <row r="48" spans="1:14">
      <c r="A48" s="897">
        <v>1</v>
      </c>
      <c r="B48" s="1114" t="str">
        <f>[80]Sheet1!$B$14</f>
        <v>Cctv indoor</v>
      </c>
      <c r="C48" s="579"/>
      <c r="D48" s="579"/>
      <c r="E48" s="579"/>
      <c r="F48" s="580"/>
      <c r="G48" s="272" t="s">
        <v>392</v>
      </c>
      <c r="H48" s="453">
        <v>3</v>
      </c>
      <c r="I48" s="572">
        <f>[80]Sheet1!$D$14</f>
        <v>3500000</v>
      </c>
      <c r="J48" s="455">
        <f t="shared" ref="J48:J65" si="2">H48*I48</f>
        <v>10500000</v>
      </c>
    </row>
    <row r="49" spans="1:10">
      <c r="A49" s="897">
        <f t="shared" ref="A49:A65" si="3">A48+1</f>
        <v>2</v>
      </c>
      <c r="B49" s="1114" t="str">
        <f>[80]Sheet1!$B$15</f>
        <v>Cctv outdoor</v>
      </c>
      <c r="F49" s="575"/>
      <c r="G49" s="272" t="s">
        <v>392</v>
      </c>
      <c r="H49" s="453">
        <v>2</v>
      </c>
      <c r="I49" s="572">
        <f>[80]Sheet1!$D$15</f>
        <v>3500000</v>
      </c>
      <c r="J49" s="455">
        <f t="shared" si="2"/>
        <v>7000000</v>
      </c>
    </row>
    <row r="50" spans="1:10">
      <c r="A50" s="897">
        <f t="shared" si="3"/>
        <v>3</v>
      </c>
      <c r="B50" s="1114" t="str">
        <f>[80]Sheet1!$B$16</f>
        <v>DVR</v>
      </c>
      <c r="F50" s="575"/>
      <c r="G50" s="272" t="s">
        <v>392</v>
      </c>
      <c r="H50" s="453">
        <v>5</v>
      </c>
      <c r="I50" s="572">
        <f>[80]Sheet1!$D$16</f>
        <v>5000000</v>
      </c>
      <c r="J50" s="455">
        <f t="shared" si="2"/>
        <v>25000000</v>
      </c>
    </row>
    <row r="51" spans="1:10">
      <c r="A51" s="897">
        <f t="shared" si="3"/>
        <v>4</v>
      </c>
      <c r="B51" s="1114" t="str">
        <f>[80]Sheet1!$B$17</f>
        <v>Adapter dan Power Supply.</v>
      </c>
      <c r="F51" s="575"/>
      <c r="G51" s="272" t="s">
        <v>392</v>
      </c>
      <c r="H51" s="453">
        <v>5</v>
      </c>
      <c r="I51" s="572">
        <f>[80]Sheet1!$D$17</f>
        <v>900000</v>
      </c>
      <c r="J51" s="455">
        <f t="shared" si="2"/>
        <v>4500000</v>
      </c>
    </row>
    <row r="52" spans="1:10">
      <c r="A52" s="897">
        <f t="shared" si="3"/>
        <v>5</v>
      </c>
      <c r="B52" s="1114" t="str">
        <f>[80]Sheet1!$B$18</f>
        <v>Kabel Power.</v>
      </c>
      <c r="F52" s="575"/>
      <c r="G52" s="272" t="s">
        <v>1006</v>
      </c>
      <c r="H52" s="453">
        <v>5</v>
      </c>
      <c r="I52" s="572">
        <f>[80]Sheet1!$D$18</f>
        <v>1000000</v>
      </c>
      <c r="J52" s="455">
        <f t="shared" si="2"/>
        <v>5000000</v>
      </c>
    </row>
    <row r="53" spans="1:10">
      <c r="A53" s="897">
        <f t="shared" si="3"/>
        <v>6</v>
      </c>
      <c r="B53" s="1114" t="str">
        <f>[80]Sheet1!$B$19</f>
        <v>Crimp Kabel.</v>
      </c>
      <c r="F53" s="575"/>
      <c r="G53" s="272" t="s">
        <v>392</v>
      </c>
      <c r="H53" s="453">
        <v>3</v>
      </c>
      <c r="I53" s="572">
        <f>[80]Sheet1!$D$19</f>
        <v>2000000</v>
      </c>
      <c r="J53" s="455">
        <f t="shared" si="2"/>
        <v>6000000</v>
      </c>
    </row>
    <row r="54" spans="1:10">
      <c r="A54" s="897">
        <f t="shared" si="3"/>
        <v>7</v>
      </c>
      <c r="B54" s="1114" t="str">
        <f>[80]Sheet1!$B$20</f>
        <v>Kabel Coaxial.</v>
      </c>
      <c r="F54" s="575"/>
      <c r="G54" s="272" t="s">
        <v>1006</v>
      </c>
      <c r="H54" s="453">
        <v>5</v>
      </c>
      <c r="I54" s="572">
        <f>[80]Sheet1!$D$20</f>
        <v>3500000</v>
      </c>
      <c r="J54" s="455">
        <f t="shared" si="2"/>
        <v>17500000</v>
      </c>
    </row>
    <row r="55" spans="1:10">
      <c r="A55" s="897">
        <f t="shared" si="3"/>
        <v>8</v>
      </c>
      <c r="B55" s="1114" t="str">
        <f>[80]Sheet1!$B$21</f>
        <v>Konektor RF.</v>
      </c>
      <c r="F55" s="575"/>
      <c r="G55" s="272" t="s">
        <v>1013</v>
      </c>
      <c r="H55" s="453">
        <v>3</v>
      </c>
      <c r="I55" s="572">
        <f>[80]Sheet1!$D$21</f>
        <v>1000000</v>
      </c>
      <c r="J55" s="455">
        <f t="shared" si="2"/>
        <v>3000000</v>
      </c>
    </row>
    <row r="56" spans="1:10">
      <c r="A56" s="897">
        <f t="shared" si="3"/>
        <v>9</v>
      </c>
      <c r="B56" s="574"/>
      <c r="F56" s="575"/>
      <c r="H56" s="453">
        <v>0</v>
      </c>
      <c r="I56" s="572">
        <v>0</v>
      </c>
      <c r="J56" s="455">
        <f t="shared" si="2"/>
        <v>0</v>
      </c>
    </row>
    <row r="57" spans="1:10">
      <c r="A57" s="897">
        <f t="shared" si="3"/>
        <v>10</v>
      </c>
      <c r="B57" s="574"/>
      <c r="F57" s="575"/>
      <c r="H57" s="453">
        <v>0</v>
      </c>
      <c r="I57" s="572">
        <v>0</v>
      </c>
      <c r="J57" s="455">
        <f t="shared" si="2"/>
        <v>0</v>
      </c>
    </row>
    <row r="58" spans="1:10">
      <c r="A58" s="897">
        <f t="shared" si="3"/>
        <v>11</v>
      </c>
      <c r="B58" s="574"/>
      <c r="F58" s="575"/>
      <c r="H58" s="453">
        <v>0</v>
      </c>
      <c r="I58" s="572">
        <v>0</v>
      </c>
      <c r="J58" s="455">
        <f t="shared" si="2"/>
        <v>0</v>
      </c>
    </row>
    <row r="59" spans="1:10">
      <c r="A59" s="897">
        <f t="shared" si="3"/>
        <v>12</v>
      </c>
      <c r="B59" s="574"/>
      <c r="F59" s="575"/>
      <c r="H59" s="453">
        <v>0</v>
      </c>
      <c r="I59" s="572">
        <v>0</v>
      </c>
      <c r="J59" s="455">
        <f t="shared" si="2"/>
        <v>0</v>
      </c>
    </row>
    <row r="60" spans="1:10">
      <c r="A60" s="897">
        <f t="shared" si="3"/>
        <v>13</v>
      </c>
      <c r="B60" s="574"/>
      <c r="F60" s="575"/>
      <c r="H60" s="453">
        <v>0</v>
      </c>
      <c r="I60" s="572">
        <v>0</v>
      </c>
      <c r="J60" s="455">
        <f t="shared" si="2"/>
        <v>0</v>
      </c>
    </row>
    <row r="61" spans="1:10">
      <c r="A61" s="897">
        <f t="shared" si="3"/>
        <v>14</v>
      </c>
      <c r="B61" s="574"/>
      <c r="F61" s="575"/>
      <c r="H61" s="453">
        <v>0</v>
      </c>
      <c r="I61" s="572">
        <v>0</v>
      </c>
      <c r="J61" s="455">
        <f t="shared" si="2"/>
        <v>0</v>
      </c>
    </row>
    <row r="62" spans="1:10">
      <c r="A62" s="897">
        <f t="shared" si="3"/>
        <v>15</v>
      </c>
      <c r="B62" s="574"/>
      <c r="F62" s="575"/>
      <c r="H62" s="453">
        <v>0</v>
      </c>
      <c r="I62" s="572">
        <v>0</v>
      </c>
      <c r="J62" s="455">
        <f t="shared" si="2"/>
        <v>0</v>
      </c>
    </row>
    <row r="63" spans="1:10">
      <c r="A63" s="897">
        <f t="shared" si="3"/>
        <v>16</v>
      </c>
      <c r="B63" s="574"/>
      <c r="F63" s="575"/>
      <c r="H63" s="453">
        <v>0</v>
      </c>
      <c r="I63" s="572">
        <v>0</v>
      </c>
      <c r="J63" s="455">
        <f t="shared" si="2"/>
        <v>0</v>
      </c>
    </row>
    <row r="64" spans="1:10">
      <c r="A64" s="897">
        <f t="shared" si="3"/>
        <v>17</v>
      </c>
      <c r="B64" s="574"/>
      <c r="F64" s="575"/>
      <c r="H64" s="453">
        <v>0</v>
      </c>
      <c r="I64" s="572">
        <v>0</v>
      </c>
      <c r="J64" s="455">
        <f t="shared" si="2"/>
        <v>0</v>
      </c>
    </row>
    <row r="65" spans="1:10">
      <c r="A65" s="897">
        <f t="shared" si="3"/>
        <v>18</v>
      </c>
      <c r="B65" s="574"/>
      <c r="F65" s="575"/>
      <c r="H65" s="453">
        <v>0</v>
      </c>
      <c r="I65" s="572">
        <v>0</v>
      </c>
      <c r="J65" s="455">
        <f t="shared" si="2"/>
        <v>0</v>
      </c>
    </row>
    <row r="66" spans="1:10">
      <c r="A66" s="897"/>
      <c r="B66" s="574"/>
      <c r="F66" s="575"/>
      <c r="H66" s="453"/>
      <c r="I66" s="572"/>
      <c r="J66" s="455"/>
    </row>
    <row r="67" spans="1:10">
      <c r="A67" s="897"/>
      <c r="B67" s="574"/>
      <c r="F67" s="575"/>
      <c r="H67" s="453"/>
      <c r="I67" s="577" t="s">
        <v>368</v>
      </c>
      <c r="J67" s="578">
        <f>SUM(J48:J65)</f>
        <v>78500000</v>
      </c>
    </row>
    <row r="68" spans="1:10">
      <c r="A68" s="897"/>
      <c r="B68" s="574"/>
      <c r="F68" s="575"/>
      <c r="H68" s="453"/>
      <c r="I68" s="572"/>
      <c r="J68" s="578"/>
    </row>
    <row r="69" spans="1:10">
      <c r="A69" s="898" t="s">
        <v>369</v>
      </c>
      <c r="B69" s="568" t="s">
        <v>62</v>
      </c>
      <c r="C69" s="569"/>
      <c r="D69" s="569"/>
      <c r="E69" s="569"/>
      <c r="F69" s="570"/>
      <c r="H69" s="453"/>
      <c r="I69" s="572"/>
      <c r="J69" s="455"/>
    </row>
    <row r="70" spans="1:10">
      <c r="A70" s="897">
        <v>1</v>
      </c>
      <c r="B70" s="574"/>
      <c r="F70" s="575"/>
      <c r="H70" s="453">
        <v>0</v>
      </c>
      <c r="I70" s="572">
        <v>0</v>
      </c>
      <c r="J70" s="455">
        <f>H70*I70</f>
        <v>0</v>
      </c>
    </row>
    <row r="71" spans="1:10">
      <c r="A71" s="897">
        <v>2</v>
      </c>
      <c r="B71" s="574"/>
      <c r="F71" s="575"/>
      <c r="H71" s="453">
        <f>H63</f>
        <v>0</v>
      </c>
      <c r="I71" s="572">
        <v>0</v>
      </c>
      <c r="J71" s="455">
        <f>H71*I71</f>
        <v>0</v>
      </c>
    </row>
    <row r="72" spans="1:10">
      <c r="A72" s="897"/>
      <c r="B72" s="574"/>
      <c r="F72" s="575"/>
      <c r="H72" s="453"/>
      <c r="I72" s="572"/>
      <c r="J72" s="455"/>
    </row>
    <row r="73" spans="1:10">
      <c r="A73" s="897"/>
      <c r="B73" s="574"/>
      <c r="F73" s="575"/>
      <c r="H73" s="453"/>
      <c r="I73" s="577" t="s">
        <v>371</v>
      </c>
      <c r="J73" s="578">
        <f>SUM(J70:J71)</f>
        <v>0</v>
      </c>
    </row>
    <row r="74" spans="1:10">
      <c r="A74" s="897"/>
      <c r="B74" s="574"/>
      <c r="F74" s="575"/>
      <c r="H74" s="453"/>
      <c r="I74" s="572"/>
      <c r="J74" s="578"/>
    </row>
    <row r="75" spans="1:10">
      <c r="A75" s="898" t="s">
        <v>372</v>
      </c>
      <c r="B75" s="568" t="s">
        <v>1008</v>
      </c>
      <c r="C75" s="569"/>
      <c r="D75" s="569"/>
      <c r="E75" s="569"/>
      <c r="F75" s="570"/>
      <c r="H75" s="453"/>
      <c r="I75" s="572"/>
      <c r="J75" s="455"/>
    </row>
    <row r="76" spans="1:10">
      <c r="A76" s="1115">
        <v>1</v>
      </c>
      <c r="B76" s="1114" t="str">
        <f>[80]Sheet1!$B$23</f>
        <v>Acess Point</v>
      </c>
      <c r="F76" s="575"/>
      <c r="G76" s="272" t="s">
        <v>392</v>
      </c>
      <c r="H76" s="453">
        <v>1</v>
      </c>
      <c r="I76" s="572">
        <f>[80]Sheet1!$D$23</f>
        <v>8500000</v>
      </c>
      <c r="J76" s="455">
        <f t="shared" ref="J76:J83" si="4">H76*I76</f>
        <v>8500000</v>
      </c>
    </row>
    <row r="77" spans="1:10">
      <c r="A77" s="1115">
        <v>2</v>
      </c>
      <c r="B77" s="1114" t="str">
        <f>[80]Sheet1!$B$24</f>
        <v>Antena Omni</v>
      </c>
      <c r="F77" s="575"/>
      <c r="G77" s="272" t="s">
        <v>392</v>
      </c>
      <c r="H77" s="453">
        <v>1</v>
      </c>
      <c r="I77" s="572">
        <f>[80]Sheet1!$D$24</f>
        <v>10000000</v>
      </c>
      <c r="J77" s="455">
        <f t="shared" si="4"/>
        <v>10000000</v>
      </c>
    </row>
    <row r="78" spans="1:10">
      <c r="A78" s="1115">
        <v>3</v>
      </c>
      <c r="B78" s="1114" t="str">
        <f>[80]Sheet1!$B$25</f>
        <v>Kabel Pigtail/Kabel Jumper</v>
      </c>
      <c r="F78" s="575"/>
      <c r="G78" s="272" t="s">
        <v>1006</v>
      </c>
      <c r="H78" s="453">
        <v>1</v>
      </c>
      <c r="I78" s="572">
        <f>[80]Sheet1!$D$25</f>
        <v>500000</v>
      </c>
      <c r="J78" s="455">
        <f t="shared" si="4"/>
        <v>500000</v>
      </c>
    </row>
    <row r="79" spans="1:10">
      <c r="A79" s="1115">
        <v>4</v>
      </c>
      <c r="B79" s="1114" t="str">
        <f>[80]Sheet1!$B$26</f>
        <v>POE (Power Over Ethernet)</v>
      </c>
      <c r="F79" s="575"/>
      <c r="G79" s="272" t="s">
        <v>392</v>
      </c>
      <c r="H79" s="453">
        <v>1</v>
      </c>
      <c r="I79" s="572">
        <f>[80]Sheet1!$D$26</f>
        <v>2000000</v>
      </c>
      <c r="J79" s="455">
        <f t="shared" si="4"/>
        <v>2000000</v>
      </c>
    </row>
    <row r="80" spans="1:10">
      <c r="A80" s="1115">
        <v>5</v>
      </c>
      <c r="B80" s="1114" t="str">
        <f>[80]Sheet1!$B$27</f>
        <v>Kabel UTP/STP</v>
      </c>
      <c r="F80" s="575"/>
      <c r="G80" s="272" t="s">
        <v>1006</v>
      </c>
      <c r="H80" s="453">
        <v>1</v>
      </c>
      <c r="I80" s="572">
        <f>[80]Sheet1!$D$27</f>
        <v>3000000</v>
      </c>
      <c r="J80" s="455">
        <f t="shared" si="4"/>
        <v>3000000</v>
      </c>
    </row>
    <row r="81" spans="1:16">
      <c r="A81" s="1115">
        <v>6</v>
      </c>
      <c r="B81" s="1114" t="str">
        <f>[80]Sheet1!$B$28</f>
        <v>Penangkal Petir (Lightning Arrester)</v>
      </c>
      <c r="F81" s="575"/>
      <c r="G81" s="272" t="s">
        <v>392</v>
      </c>
      <c r="H81" s="453">
        <v>1</v>
      </c>
      <c r="I81" s="572">
        <f>[80]Sheet1!$D$28</f>
        <v>3000000</v>
      </c>
      <c r="J81" s="455">
        <f t="shared" si="4"/>
        <v>3000000</v>
      </c>
    </row>
    <row r="82" spans="1:16">
      <c r="A82" s="1115">
        <v>7</v>
      </c>
      <c r="B82" s="1114"/>
      <c r="F82" s="575"/>
      <c r="H82" s="453">
        <v>0</v>
      </c>
      <c r="I82" s="572">
        <v>0</v>
      </c>
      <c r="J82" s="455">
        <f t="shared" si="4"/>
        <v>0</v>
      </c>
      <c r="M82" s="559" t="s">
        <v>254</v>
      </c>
      <c r="N82" s="453">
        <f>AnResto300!G71</f>
        <v>34.799999999999997</v>
      </c>
      <c r="O82" s="572">
        <v>190000</v>
      </c>
      <c r="P82" s="455">
        <f t="shared" ref="P82:P98" si="5">N82*O82</f>
        <v>6611999.9999999991</v>
      </c>
    </row>
    <row r="83" spans="1:16">
      <c r="A83" s="897">
        <v>8</v>
      </c>
      <c r="B83" s="574"/>
      <c r="F83" s="575"/>
      <c r="H83" s="453">
        <v>0</v>
      </c>
      <c r="I83" s="572">
        <v>0</v>
      </c>
      <c r="J83" s="455">
        <f t="shared" si="4"/>
        <v>0</v>
      </c>
      <c r="M83" s="559" t="s">
        <v>14</v>
      </c>
      <c r="N83" s="453">
        <f>AnResto300!G72</f>
        <v>12.96</v>
      </c>
      <c r="O83" s="572">
        <v>1300000</v>
      </c>
      <c r="P83" s="455">
        <f t="shared" si="5"/>
        <v>16848000</v>
      </c>
    </row>
    <row r="84" spans="1:16">
      <c r="A84" s="897"/>
      <c r="B84" s="574"/>
      <c r="F84" s="575"/>
      <c r="H84" s="453"/>
      <c r="I84" s="572"/>
      <c r="J84" s="455"/>
      <c r="M84" s="559" t="s">
        <v>254</v>
      </c>
      <c r="N84" s="453">
        <f>AnResto300!H84</f>
        <v>81.599999999999994</v>
      </c>
      <c r="O84" s="572">
        <f>O82</f>
        <v>190000</v>
      </c>
      <c r="P84" s="455">
        <f t="shared" si="5"/>
        <v>15503999.999999998</v>
      </c>
    </row>
    <row r="85" spans="1:16">
      <c r="A85" s="897"/>
      <c r="B85" s="574"/>
      <c r="F85" s="575"/>
      <c r="H85" s="453"/>
      <c r="I85" s="577" t="s">
        <v>377</v>
      </c>
      <c r="J85" s="578">
        <f>SUM(J76:J84)</f>
        <v>27000000</v>
      </c>
      <c r="M85" s="559" t="s">
        <v>14</v>
      </c>
      <c r="N85" s="453">
        <f>AnResto300!F87</f>
        <v>58.8</v>
      </c>
      <c r="O85" s="572">
        <f>O83</f>
        <v>1300000</v>
      </c>
      <c r="P85" s="455">
        <f t="shared" si="5"/>
        <v>76440000</v>
      </c>
    </row>
    <row r="86" spans="1:16">
      <c r="A86" s="898" t="s">
        <v>378</v>
      </c>
      <c r="B86" s="568" t="s">
        <v>1010</v>
      </c>
      <c r="C86" s="569"/>
      <c r="D86" s="569"/>
      <c r="E86" s="569"/>
      <c r="F86" s="570"/>
      <c r="H86" s="453"/>
      <c r="I86" s="572"/>
      <c r="J86" s="455"/>
      <c r="M86" s="559" t="s">
        <v>254</v>
      </c>
      <c r="N86" s="453">
        <f>AnResto300!G129</f>
        <v>20.64</v>
      </c>
      <c r="O86" s="572">
        <f>O84</f>
        <v>190000</v>
      </c>
      <c r="P86" s="455">
        <f t="shared" si="5"/>
        <v>3921600</v>
      </c>
    </row>
    <row r="87" spans="1:16">
      <c r="A87" s="897"/>
      <c r="B87" s="574"/>
      <c r="F87" s="575"/>
      <c r="H87" s="453"/>
      <c r="I87" s="572"/>
      <c r="J87" s="455"/>
      <c r="M87" s="559" t="s">
        <v>14</v>
      </c>
      <c r="N87" s="453">
        <f>AnResto300!G130</f>
        <v>6.09</v>
      </c>
      <c r="O87" s="572">
        <f>O85</f>
        <v>1300000</v>
      </c>
      <c r="P87" s="455">
        <f t="shared" si="5"/>
        <v>7917000</v>
      </c>
    </row>
    <row r="88" spans="1:16">
      <c r="A88" s="897">
        <f t="shared" ref="A88" si="6">A87+1</f>
        <v>1</v>
      </c>
      <c r="B88" s="434" t="str">
        <f>[80]Sheet1!$B$30</f>
        <v>Kabel Telepon outdoor</v>
      </c>
      <c r="F88" s="575"/>
      <c r="G88" s="272" t="s">
        <v>1006</v>
      </c>
      <c r="H88" s="453">
        <v>1</v>
      </c>
      <c r="I88" s="572">
        <f>[80]Sheet1!$D$30</f>
        <v>4500000</v>
      </c>
      <c r="J88" s="455">
        <f t="shared" ref="J88" si="7">H88*I88</f>
        <v>4500000</v>
      </c>
      <c r="M88" s="559" t="s">
        <v>254</v>
      </c>
      <c r="N88" s="453">
        <f>AnResto300!G134</f>
        <v>20.200000000000003</v>
      </c>
      <c r="O88" s="572">
        <f>O82</f>
        <v>190000</v>
      </c>
      <c r="P88" s="455">
        <f t="shared" si="5"/>
        <v>3838000.0000000005</v>
      </c>
    </row>
    <row r="89" spans="1:16">
      <c r="A89" s="897">
        <f>A88+1</f>
        <v>2</v>
      </c>
      <c r="B89" s="1114" t="str">
        <f>[80]Sheet1!$B$31</f>
        <v>Kabel Telepon Indoor</v>
      </c>
      <c r="F89" s="575"/>
      <c r="G89" s="272" t="s">
        <v>1006</v>
      </c>
      <c r="H89" s="453">
        <v>1</v>
      </c>
      <c r="I89" s="572">
        <f>[80]Sheet1!$D$31</f>
        <v>4000000</v>
      </c>
      <c r="J89" s="455">
        <f>H89*I89</f>
        <v>4000000</v>
      </c>
      <c r="M89" s="559" t="s">
        <v>14</v>
      </c>
      <c r="N89" s="453">
        <f>AnResto300!G135</f>
        <v>5.8500000000000005</v>
      </c>
      <c r="O89" s="572">
        <f>O83</f>
        <v>1300000</v>
      </c>
      <c r="P89" s="455">
        <f t="shared" si="5"/>
        <v>7605000.0000000009</v>
      </c>
    </row>
    <row r="90" spans="1:16">
      <c r="A90" s="897">
        <f t="shared" ref="A90:A100" si="8">A89+1</f>
        <v>3</v>
      </c>
      <c r="B90" s="1114" t="str">
        <f>[80]Sheet1!$B$32</f>
        <v>Box Telepon Konektor</v>
      </c>
      <c r="F90" s="575"/>
      <c r="G90" s="272" t="s">
        <v>392</v>
      </c>
      <c r="H90" s="453">
        <v>1</v>
      </c>
      <c r="I90" s="572">
        <f>[80]Sheet1!$D$32</f>
        <v>6500000</v>
      </c>
      <c r="J90" s="455">
        <f t="shared" ref="J90" si="9">H90*I90</f>
        <v>6500000</v>
      </c>
      <c r="M90" s="559" t="s">
        <v>254</v>
      </c>
      <c r="N90" s="453">
        <f>AnResto300!G139</f>
        <v>14.04</v>
      </c>
      <c r="O90" s="572">
        <f>O82</f>
        <v>190000</v>
      </c>
      <c r="P90" s="455">
        <f t="shared" si="5"/>
        <v>2667600</v>
      </c>
    </row>
    <row r="91" spans="1:16">
      <c r="A91" s="897">
        <f t="shared" si="8"/>
        <v>4</v>
      </c>
      <c r="B91" s="1114" t="str">
        <f>[80]Sheet1!$B$33</f>
        <v>Kabel Protection ( Ugreen Cable Zipper Protection )</v>
      </c>
      <c r="F91" s="575"/>
      <c r="G91" s="272" t="s">
        <v>813</v>
      </c>
      <c r="H91" s="453">
        <v>20</v>
      </c>
      <c r="I91" s="572">
        <f>[80]Sheet1!$D$33</f>
        <v>200000</v>
      </c>
      <c r="J91" s="455">
        <f>H91*I91</f>
        <v>4000000</v>
      </c>
      <c r="M91" s="559" t="s">
        <v>14</v>
      </c>
      <c r="N91" s="453">
        <f>AnResto300!G140</f>
        <v>2.5200000000000005</v>
      </c>
      <c r="O91" s="572">
        <f>O83</f>
        <v>1300000</v>
      </c>
      <c r="P91" s="455">
        <f t="shared" si="5"/>
        <v>3276000.0000000005</v>
      </c>
    </row>
    <row r="92" spans="1:16">
      <c r="A92" s="897">
        <f t="shared" si="8"/>
        <v>5</v>
      </c>
      <c r="B92" s="1114" t="str">
        <f>[80]Sheet1!$B$34</f>
        <v>Paku Klem</v>
      </c>
      <c r="F92" s="575"/>
      <c r="G92" s="272" t="s">
        <v>1015</v>
      </c>
      <c r="H92" s="453">
        <v>1</v>
      </c>
      <c r="I92" s="572">
        <f>[80]Sheet1!$D$34</f>
        <v>500000</v>
      </c>
      <c r="J92" s="455">
        <f>H92*I92</f>
        <v>500000</v>
      </c>
      <c r="M92" s="559" t="s">
        <v>254</v>
      </c>
      <c r="N92" s="453">
        <f>AnResto300!G144</f>
        <v>60.47</v>
      </c>
      <c r="O92" s="572">
        <f>O82</f>
        <v>190000</v>
      </c>
      <c r="P92" s="455">
        <f t="shared" si="5"/>
        <v>11489300</v>
      </c>
    </row>
    <row r="93" spans="1:16">
      <c r="A93" s="897">
        <f t="shared" si="8"/>
        <v>6</v>
      </c>
      <c r="B93" s="1114" t="str">
        <f>[80]Sheet1!$B$35</f>
        <v>Peralatan kerja pabx</v>
      </c>
      <c r="F93" s="575"/>
      <c r="G93" s="272" t="s">
        <v>392</v>
      </c>
      <c r="H93" s="453">
        <v>1</v>
      </c>
      <c r="I93" s="572">
        <f>[80]Sheet1!$D$35</f>
        <v>2000000</v>
      </c>
      <c r="J93" s="455">
        <f t="shared" ref="J93" si="10">H93*I93</f>
        <v>2000000</v>
      </c>
      <c r="M93" s="559" t="s">
        <v>14</v>
      </c>
      <c r="N93" s="453">
        <f>AnResto300!G145</f>
        <v>21.84</v>
      </c>
      <c r="O93" s="572">
        <f>O83</f>
        <v>1300000</v>
      </c>
      <c r="P93" s="455">
        <f t="shared" si="5"/>
        <v>28392000</v>
      </c>
    </row>
    <row r="94" spans="1:16">
      <c r="A94" s="897">
        <f t="shared" si="8"/>
        <v>7</v>
      </c>
      <c r="B94" s="1114"/>
      <c r="C94" s="457"/>
      <c r="D94" s="457"/>
      <c r="E94" s="457"/>
      <c r="F94" s="458"/>
      <c r="H94" s="453">
        <v>0</v>
      </c>
      <c r="I94" s="572">
        <v>0</v>
      </c>
      <c r="J94" s="455">
        <f t="shared" ref="J94:J100" si="11">H94*I94</f>
        <v>0</v>
      </c>
      <c r="M94" s="559" t="s">
        <v>254</v>
      </c>
      <c r="N94" s="453">
        <f>AnResto300!G77</f>
        <v>13.600000000000001</v>
      </c>
      <c r="O94" s="572">
        <f>O92</f>
        <v>190000</v>
      </c>
      <c r="P94" s="455">
        <f t="shared" si="5"/>
        <v>2584000.0000000005</v>
      </c>
    </row>
    <row r="95" spans="1:16">
      <c r="A95" s="897">
        <f t="shared" si="8"/>
        <v>8</v>
      </c>
      <c r="B95" s="588"/>
      <c r="C95" s="589"/>
      <c r="D95" s="589"/>
      <c r="E95" s="589"/>
      <c r="F95" s="590"/>
      <c r="H95" s="453">
        <v>0</v>
      </c>
      <c r="I95" s="572">
        <v>0</v>
      </c>
      <c r="J95" s="455">
        <f t="shared" si="11"/>
        <v>0</v>
      </c>
      <c r="M95" s="559" t="s">
        <v>254</v>
      </c>
      <c r="N95" s="453">
        <f>AnResto300!G79</f>
        <v>7.2</v>
      </c>
      <c r="O95" s="572">
        <f>O84</f>
        <v>190000</v>
      </c>
      <c r="P95" s="455">
        <f t="shared" si="5"/>
        <v>1368000</v>
      </c>
    </row>
    <row r="96" spans="1:16">
      <c r="A96" s="897">
        <f t="shared" si="8"/>
        <v>9</v>
      </c>
      <c r="B96" s="588"/>
      <c r="C96" s="589"/>
      <c r="D96" s="589"/>
      <c r="E96" s="589"/>
      <c r="F96" s="590"/>
      <c r="H96" s="453">
        <v>0</v>
      </c>
      <c r="I96" s="572">
        <v>0</v>
      </c>
      <c r="J96" s="455">
        <f t="shared" si="11"/>
        <v>0</v>
      </c>
      <c r="M96" s="559" t="s">
        <v>254</v>
      </c>
      <c r="N96" s="453">
        <f>AnResto300!G80</f>
        <v>6.2</v>
      </c>
      <c r="O96" s="572">
        <f>O95</f>
        <v>190000</v>
      </c>
      <c r="P96" s="455">
        <f t="shared" si="5"/>
        <v>1178000</v>
      </c>
    </row>
    <row r="97" spans="1:16">
      <c r="A97" s="897">
        <f t="shared" si="8"/>
        <v>10</v>
      </c>
      <c r="B97" s="574"/>
      <c r="F97" s="575"/>
      <c r="H97" s="453">
        <v>0</v>
      </c>
      <c r="I97" s="572">
        <v>0</v>
      </c>
      <c r="J97" s="455">
        <f t="shared" si="11"/>
        <v>0</v>
      </c>
      <c r="M97" s="559" t="s">
        <v>254</v>
      </c>
      <c r="N97" s="583">
        <f>AnResto300!G89</f>
        <v>10</v>
      </c>
      <c r="O97" s="572">
        <f>O95</f>
        <v>190000</v>
      </c>
      <c r="P97" s="455">
        <f t="shared" si="5"/>
        <v>1900000</v>
      </c>
    </row>
    <row r="98" spans="1:16">
      <c r="A98" s="897">
        <f t="shared" si="8"/>
        <v>11</v>
      </c>
      <c r="B98" s="574"/>
      <c r="F98" s="575"/>
      <c r="H98" s="453">
        <v>0</v>
      </c>
      <c r="I98" s="572">
        <v>0</v>
      </c>
      <c r="J98" s="455">
        <f t="shared" si="11"/>
        <v>0</v>
      </c>
      <c r="M98" s="559" t="s">
        <v>254</v>
      </c>
      <c r="N98" s="583">
        <f>AnResto300!G90</f>
        <v>7.8</v>
      </c>
      <c r="O98" s="572">
        <f>O97</f>
        <v>190000</v>
      </c>
      <c r="P98" s="455">
        <f t="shared" si="5"/>
        <v>1482000</v>
      </c>
    </row>
    <row r="99" spans="1:16">
      <c r="A99" s="897">
        <f t="shared" si="8"/>
        <v>12</v>
      </c>
      <c r="B99" s="574"/>
      <c r="F99" s="575"/>
      <c r="H99" s="453">
        <v>0</v>
      </c>
      <c r="I99" s="572">
        <v>0</v>
      </c>
      <c r="J99" s="455">
        <f t="shared" si="11"/>
        <v>0</v>
      </c>
    </row>
    <row r="100" spans="1:16">
      <c r="A100" s="897">
        <f t="shared" si="8"/>
        <v>13</v>
      </c>
      <c r="B100" s="574">
        <f>'BQresto 200'!B96</f>
        <v>0</v>
      </c>
      <c r="F100" s="575"/>
      <c r="H100" s="453">
        <v>0</v>
      </c>
      <c r="I100" s="572">
        <v>0</v>
      </c>
      <c r="J100" s="455">
        <f t="shared" si="11"/>
        <v>0</v>
      </c>
    </row>
    <row r="101" spans="1:16">
      <c r="A101" s="897"/>
      <c r="B101" s="574"/>
      <c r="F101" s="575"/>
      <c r="H101" s="453"/>
      <c r="I101" s="572"/>
      <c r="J101" s="455"/>
    </row>
    <row r="102" spans="1:16">
      <c r="A102" s="897"/>
      <c r="B102" s="574"/>
      <c r="F102" s="575"/>
      <c r="H102" s="453"/>
      <c r="I102" s="577" t="s">
        <v>383</v>
      </c>
      <c r="J102" s="578">
        <f>SUM(J88:J100)</f>
        <v>21500000</v>
      </c>
    </row>
    <row r="103" spans="1:16">
      <c r="A103" s="898" t="s">
        <v>384</v>
      </c>
      <c r="B103" s="568" t="s">
        <v>62</v>
      </c>
      <c r="C103" s="569"/>
      <c r="D103" s="569"/>
      <c r="E103" s="569"/>
      <c r="F103" s="570"/>
      <c r="H103" s="453"/>
      <c r="I103" s="572"/>
      <c r="J103" s="455"/>
    </row>
    <row r="104" spans="1:16">
      <c r="A104" s="897">
        <v>1</v>
      </c>
      <c r="B104" s="574"/>
      <c r="F104" s="575"/>
      <c r="H104" s="453">
        <f>H43</f>
        <v>0</v>
      </c>
      <c r="I104" s="572">
        <v>0</v>
      </c>
      <c r="J104" s="455">
        <f>H104*I104</f>
        <v>0</v>
      </c>
    </row>
    <row r="105" spans="1:16">
      <c r="A105" s="897">
        <v>2</v>
      </c>
      <c r="B105" s="574"/>
      <c r="F105" s="575"/>
      <c r="H105" s="453">
        <f>H70</f>
        <v>0</v>
      </c>
      <c r="I105" s="572">
        <v>0</v>
      </c>
      <c r="J105" s="455">
        <f>H105*I105</f>
        <v>0</v>
      </c>
    </row>
    <row r="106" spans="1:16">
      <c r="A106" s="897"/>
      <c r="B106" s="574"/>
      <c r="F106" s="575"/>
      <c r="H106" s="453"/>
      <c r="I106" s="572"/>
      <c r="J106" s="455"/>
    </row>
    <row r="107" spans="1:16">
      <c r="A107" s="897"/>
      <c r="B107" s="574"/>
      <c r="F107" s="575"/>
      <c r="H107" s="453"/>
      <c r="I107" s="577" t="s">
        <v>388</v>
      </c>
      <c r="J107" s="578">
        <f>SUM(J104:J106)</f>
        <v>0</v>
      </c>
      <c r="K107" s="585"/>
      <c r="L107" s="585"/>
      <c r="O107" s="585"/>
    </row>
    <row r="108" spans="1:16">
      <c r="A108" s="898" t="s">
        <v>389</v>
      </c>
      <c r="B108" s="568" t="s">
        <v>62</v>
      </c>
      <c r="C108" s="569"/>
      <c r="D108" s="569"/>
      <c r="E108" s="569"/>
      <c r="F108" s="570"/>
      <c r="H108" s="453"/>
      <c r="I108" s="572"/>
      <c r="J108" s="455"/>
    </row>
    <row r="109" spans="1:16">
      <c r="A109" s="897"/>
      <c r="B109" s="434" t="s">
        <v>997</v>
      </c>
      <c r="C109" s="415"/>
      <c r="D109" s="415"/>
      <c r="E109" s="415"/>
      <c r="F109" s="435"/>
      <c r="G109" s="272"/>
      <c r="H109" s="436"/>
      <c r="I109" s="432"/>
      <c r="J109" s="437"/>
    </row>
    <row r="110" spans="1:16">
      <c r="A110" s="897"/>
      <c r="B110" s="434"/>
      <c r="C110" s="415"/>
      <c r="D110" s="415"/>
      <c r="E110" s="415"/>
      <c r="F110" s="435"/>
      <c r="G110" s="272"/>
      <c r="H110" s="436"/>
      <c r="I110" s="432"/>
      <c r="J110" s="437"/>
    </row>
    <row r="111" spans="1:16">
      <c r="A111" s="897"/>
      <c r="B111" s="434"/>
      <c r="C111" s="415"/>
      <c r="D111" s="415"/>
      <c r="E111" s="415"/>
      <c r="F111" s="435"/>
      <c r="G111" s="272"/>
      <c r="H111" s="436"/>
      <c r="I111" s="432"/>
      <c r="J111" s="437"/>
    </row>
    <row r="112" spans="1:16">
      <c r="A112" s="897"/>
      <c r="B112" s="434"/>
      <c r="C112" s="415"/>
      <c r="D112" s="415"/>
      <c r="E112" s="415"/>
      <c r="F112" s="435"/>
      <c r="G112" s="272"/>
      <c r="H112" s="436"/>
      <c r="I112" s="432"/>
      <c r="J112" s="437"/>
    </row>
    <row r="113" spans="1:10">
      <c r="A113" s="897"/>
      <c r="B113" s="574"/>
      <c r="F113" s="575"/>
      <c r="H113" s="453"/>
      <c r="I113" s="572"/>
      <c r="J113" s="455"/>
    </row>
    <row r="114" spans="1:10">
      <c r="A114" s="897"/>
      <c r="B114" s="574"/>
      <c r="F114" s="575"/>
      <c r="H114" s="453"/>
      <c r="I114" s="577" t="s">
        <v>394</v>
      </c>
      <c r="J114" s="578">
        <f>SUM(J109:J112)</f>
        <v>0</v>
      </c>
    </row>
    <row r="115" spans="1:10">
      <c r="A115" s="898" t="s">
        <v>395</v>
      </c>
      <c r="B115" s="568" t="s">
        <v>62</v>
      </c>
      <c r="C115" s="569"/>
      <c r="D115" s="569"/>
      <c r="E115" s="569"/>
      <c r="F115" s="570"/>
      <c r="H115" s="453"/>
      <c r="I115" s="572"/>
      <c r="J115" s="455"/>
    </row>
    <row r="116" spans="1:10">
      <c r="A116" s="897"/>
      <c r="B116" s="434" t="s">
        <v>979</v>
      </c>
      <c r="F116" s="575"/>
      <c r="G116" s="272"/>
      <c r="H116" s="453"/>
      <c r="I116" s="572"/>
      <c r="J116" s="455"/>
    </row>
    <row r="117" spans="1:10">
      <c r="A117" s="897"/>
      <c r="B117" s="574"/>
      <c r="F117" s="575"/>
      <c r="G117" s="272"/>
      <c r="H117" s="453"/>
      <c r="I117" s="572"/>
      <c r="J117" s="455"/>
    </row>
    <row r="118" spans="1:10">
      <c r="A118" s="897"/>
      <c r="B118" s="574"/>
      <c r="F118" s="575"/>
      <c r="G118" s="272"/>
      <c r="H118" s="453"/>
      <c r="I118" s="572"/>
      <c r="J118" s="455"/>
    </row>
    <row r="119" spans="1:10">
      <c r="A119" s="897"/>
      <c r="B119" s="574"/>
      <c r="F119" s="575"/>
      <c r="G119" s="272"/>
      <c r="H119" s="453"/>
      <c r="I119" s="572"/>
      <c r="J119" s="455"/>
    </row>
    <row r="120" spans="1:10">
      <c r="A120" s="897"/>
      <c r="B120" s="574"/>
      <c r="F120" s="575"/>
      <c r="G120" s="272"/>
      <c r="H120" s="453"/>
      <c r="I120" s="572"/>
      <c r="J120" s="455"/>
    </row>
    <row r="121" spans="1:10">
      <c r="A121" s="897"/>
      <c r="B121" s="574"/>
      <c r="F121" s="575"/>
      <c r="G121" s="272"/>
      <c r="H121" s="453"/>
      <c r="I121" s="572"/>
      <c r="J121" s="455"/>
    </row>
    <row r="122" spans="1:10">
      <c r="A122" s="897"/>
      <c r="B122" s="574"/>
      <c r="F122" s="575"/>
      <c r="H122" s="453"/>
      <c r="I122" s="572"/>
      <c r="J122" s="455"/>
    </row>
    <row r="123" spans="1:10">
      <c r="A123" s="897"/>
      <c r="B123" s="574"/>
      <c r="F123" s="575"/>
      <c r="H123" s="453"/>
      <c r="I123" s="577" t="s">
        <v>500</v>
      </c>
      <c r="J123" s="578">
        <f>SUM(J116:J121)</f>
        <v>0</v>
      </c>
    </row>
    <row r="124" spans="1:10">
      <c r="A124" s="898" t="s">
        <v>404</v>
      </c>
      <c r="B124" s="568" t="s">
        <v>62</v>
      </c>
      <c r="C124" s="569"/>
      <c r="D124" s="569"/>
      <c r="E124" s="569"/>
      <c r="F124" s="570"/>
      <c r="H124" s="453"/>
      <c r="I124" s="572"/>
      <c r="J124" s="455"/>
    </row>
    <row r="125" spans="1:10">
      <c r="A125" s="897">
        <v>1</v>
      </c>
      <c r="B125" s="434"/>
      <c r="F125" s="575"/>
      <c r="H125" s="453">
        <v>0</v>
      </c>
      <c r="I125" s="572">
        <f>'BQresto 200'!I118</f>
        <v>0</v>
      </c>
      <c r="J125" s="455">
        <f>H125*I125</f>
        <v>0</v>
      </c>
    </row>
    <row r="126" spans="1:10">
      <c r="A126" s="897">
        <f>A125+1</f>
        <v>2</v>
      </c>
      <c r="B126" s="434"/>
      <c r="F126" s="575"/>
      <c r="H126" s="453">
        <v>0</v>
      </c>
      <c r="I126" s="572">
        <f>'BQresto 200'!I119</f>
        <v>0</v>
      </c>
      <c r="J126" s="455">
        <f>H126*I126</f>
        <v>0</v>
      </c>
    </row>
    <row r="127" spans="1:10">
      <c r="A127" s="897">
        <f>A126+1</f>
        <v>3</v>
      </c>
      <c r="B127" s="434"/>
      <c r="F127" s="575"/>
      <c r="H127" s="453">
        <v>0</v>
      </c>
      <c r="I127" s="572">
        <f>'BQresto 200'!I120</f>
        <v>0</v>
      </c>
      <c r="J127" s="455">
        <f>H127*I127</f>
        <v>0</v>
      </c>
    </row>
    <row r="128" spans="1:10">
      <c r="A128" s="897">
        <f>A127+1</f>
        <v>4</v>
      </c>
      <c r="B128" s="434"/>
      <c r="F128" s="575"/>
      <c r="H128" s="453">
        <v>0</v>
      </c>
      <c r="I128" s="572">
        <f>'BQresto 200'!I121</f>
        <v>0</v>
      </c>
      <c r="J128" s="455">
        <f>H128*I128</f>
        <v>0</v>
      </c>
    </row>
    <row r="129" spans="1:10">
      <c r="A129" s="897"/>
      <c r="B129" s="574"/>
      <c r="F129" s="575"/>
      <c r="H129" s="453"/>
      <c r="I129" s="577" t="s">
        <v>501</v>
      </c>
      <c r="J129" s="578">
        <f>SUM(J125:J128)</f>
        <v>0</v>
      </c>
    </row>
    <row r="130" spans="1:10" ht="16.5" thickBot="1">
      <c r="A130" s="900"/>
      <c r="B130" s="592"/>
      <c r="C130" s="593"/>
      <c r="D130" s="593"/>
      <c r="E130" s="593"/>
      <c r="F130" s="594"/>
      <c r="G130" s="595"/>
      <c r="H130" s="596"/>
      <c r="I130" s="597"/>
      <c r="J130" s="598"/>
    </row>
    <row r="131" spans="1:10">
      <c r="A131" s="897"/>
      <c r="B131" s="574"/>
      <c r="F131" s="575"/>
      <c r="H131" s="453"/>
      <c r="I131" s="572"/>
      <c r="J131" s="578"/>
    </row>
    <row r="132" spans="1:10">
      <c r="A132" s="897"/>
      <c r="B132" s="574"/>
      <c r="F132" s="575"/>
      <c r="H132" s="453"/>
      <c r="I132" s="577" t="s">
        <v>410</v>
      </c>
      <c r="J132" s="599">
        <f>SUM(J14:J129)/2</f>
        <v>230500000</v>
      </c>
    </row>
    <row r="133" spans="1:10" ht="16.5" thickBot="1">
      <c r="A133" s="901"/>
      <c r="B133" s="601"/>
      <c r="C133" s="602"/>
      <c r="D133" s="602"/>
      <c r="E133" s="602"/>
      <c r="F133" s="603"/>
      <c r="G133" s="604"/>
      <c r="H133" s="605"/>
      <c r="I133" s="606"/>
      <c r="J133" s="607"/>
    </row>
    <row r="134" spans="1:10" ht="16.5" thickTop="1">
      <c r="H134" s="608"/>
      <c r="I134" s="609"/>
      <c r="J134" s="610"/>
    </row>
    <row r="135" spans="1:10">
      <c r="H135" s="608"/>
      <c r="I135" s="609"/>
      <c r="J135" s="611"/>
    </row>
    <row r="136" spans="1:10">
      <c r="H136" s="608"/>
      <c r="I136" s="609"/>
      <c r="J136" s="610"/>
    </row>
    <row r="137" spans="1:10">
      <c r="H137" s="608"/>
      <c r="I137" s="609"/>
      <c r="J137" s="611"/>
    </row>
    <row r="138" spans="1:10">
      <c r="H138" s="608"/>
      <c r="I138" s="609"/>
      <c r="J138" s="611"/>
    </row>
    <row r="139" spans="1:10">
      <c r="H139" s="608"/>
      <c r="I139" s="609"/>
      <c r="J139" s="611"/>
    </row>
    <row r="140" spans="1:10">
      <c r="H140" s="608"/>
      <c r="I140" s="609"/>
      <c r="J140" s="611"/>
    </row>
    <row r="141" spans="1:10">
      <c r="B141" s="569"/>
      <c r="C141" s="569"/>
      <c r="D141" s="569"/>
      <c r="E141" s="569"/>
      <c r="F141" s="569"/>
      <c r="H141" s="608"/>
      <c r="I141" s="609"/>
      <c r="J141" s="611"/>
    </row>
    <row r="143" spans="1:10">
      <c r="G143" s="612"/>
      <c r="J143" s="613"/>
    </row>
    <row r="144" spans="1:10">
      <c r="G144" s="612"/>
      <c r="J144" s="585"/>
    </row>
    <row r="145" spans="7:10">
      <c r="J145" s="614"/>
    </row>
    <row r="146" spans="7:10">
      <c r="G146" s="612"/>
    </row>
    <row r="151" spans="7:10">
      <c r="G151" s="615"/>
    </row>
  </sheetData>
  <mergeCells count="1">
    <mergeCell ref="H8:J8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DF8326-0F95-45E3-AE21-078B388432D7}">
  <sheetPr>
    <tabColor rgb="FFFFFF00"/>
    <pageSetUpPr fitToPage="1"/>
  </sheetPr>
  <dimension ref="A2:L34"/>
  <sheetViews>
    <sheetView topLeftCell="A19" workbookViewId="0">
      <selection activeCell="C27" sqref="C27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42" t="s">
        <v>0</v>
      </c>
      <c r="C3" s="41"/>
      <c r="E3" s="43"/>
      <c r="F3" s="44"/>
    </row>
    <row r="4" spans="1:12">
      <c r="B4" s="42" t="s">
        <v>812</v>
      </c>
      <c r="C4" s="41"/>
      <c r="E4" s="43"/>
      <c r="F4" s="44"/>
    </row>
    <row r="5" spans="1:12">
      <c r="B5" s="45" t="s">
        <v>1</v>
      </c>
      <c r="C5" s="41"/>
      <c r="E5" s="43"/>
      <c r="F5" s="44"/>
    </row>
    <row r="6" spans="1:12">
      <c r="B6" s="42" t="s">
        <v>2</v>
      </c>
      <c r="C6" s="41"/>
      <c r="E6" s="43"/>
      <c r="F6" s="44"/>
    </row>
    <row r="7" spans="1:12">
      <c r="B7" s="45" t="s">
        <v>3</v>
      </c>
      <c r="C7" s="41"/>
      <c r="E7" s="43"/>
      <c r="F7" s="44"/>
    </row>
    <row r="8" spans="1:12" ht="16.5" thickBot="1">
      <c r="F8" s="1136" t="s">
        <v>972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Resto 400 m2 Blok A</v>
      </c>
      <c r="D13" s="58"/>
      <c r="E13" s="58"/>
      <c r="F13" s="58"/>
      <c r="G13" s="58"/>
      <c r="H13" s="59"/>
    </row>
    <row r="14" spans="1:12" s="60" customFormat="1">
      <c r="A14" s="39"/>
      <c r="B14" s="55" t="s">
        <v>11</v>
      </c>
      <c r="C14" s="56" t="str">
        <f>BQResto400!C12</f>
        <v>PEKERJAAN PERSIAPAN &amp; PENYELESAIAN</v>
      </c>
      <c r="D14" s="58"/>
      <c r="E14" s="58"/>
      <c r="F14" s="58"/>
      <c r="G14" s="58"/>
      <c r="H14" s="483">
        <f>BQResto400!K19</f>
        <v>5000000</v>
      </c>
      <c r="I14" s="39"/>
      <c r="J14" s="39"/>
      <c r="K14" s="39"/>
      <c r="L14" s="39"/>
    </row>
    <row r="15" spans="1:12" s="60" customFormat="1">
      <c r="A15" s="39"/>
      <c r="B15" s="55" t="s">
        <v>12</v>
      </c>
      <c r="C15" s="56" t="str">
        <f>BQResto400!C20</f>
        <v>PEKERJAAN LAN</v>
      </c>
      <c r="D15" s="58"/>
      <c r="E15" s="58"/>
      <c r="F15" s="58"/>
      <c r="G15" s="58"/>
      <c r="H15" s="483">
        <f>BQResto400!K29</f>
        <v>46500000</v>
      </c>
      <c r="I15" s="39"/>
      <c r="J15" s="39"/>
      <c r="K15" s="39"/>
      <c r="L15" s="39"/>
    </row>
    <row r="16" spans="1:12" s="60" customFormat="1">
      <c r="A16" s="39"/>
      <c r="B16" s="55" t="s">
        <v>16</v>
      </c>
      <c r="C16" s="56" t="str">
        <f>BQResto400!C30</f>
        <v>PEKERJAAN  CCTV</v>
      </c>
      <c r="D16" s="58"/>
      <c r="E16" s="58"/>
      <c r="F16" s="58"/>
      <c r="G16" s="58"/>
      <c r="H16" s="483">
        <f>BQResto400!K41</f>
        <v>50700000</v>
      </c>
      <c r="I16" s="39"/>
      <c r="J16" s="39"/>
      <c r="K16" s="39"/>
      <c r="L16" s="39"/>
    </row>
    <row r="17" spans="1:12" s="60" customFormat="1">
      <c r="A17" s="39"/>
      <c r="B17" s="55" t="s">
        <v>19</v>
      </c>
      <c r="C17" s="56" t="str">
        <f>BQResto400!C42</f>
        <v>MATERIAL TAMBAHAN</v>
      </c>
      <c r="D17" s="58"/>
      <c r="E17" s="58"/>
      <c r="F17" s="58"/>
      <c r="G17" s="58"/>
      <c r="H17" s="483">
        <f>BQResto400!K46</f>
        <v>3500000</v>
      </c>
      <c r="I17" s="39"/>
      <c r="J17" s="39"/>
      <c r="K17" s="39"/>
      <c r="L17" s="39"/>
    </row>
    <row r="18" spans="1:12" s="60" customFormat="1">
      <c r="A18" s="39"/>
      <c r="B18" s="55" t="s">
        <v>22</v>
      </c>
      <c r="C18" s="56" t="str">
        <f>BQResto400!C47</f>
        <v>-</v>
      </c>
      <c r="D18" s="58"/>
      <c r="E18" s="58"/>
      <c r="F18" s="58"/>
      <c r="G18" s="58"/>
      <c r="H18" s="483">
        <f>BQResto400!K51</f>
        <v>0</v>
      </c>
      <c r="I18" s="39"/>
      <c r="J18" s="39"/>
      <c r="K18" s="39"/>
      <c r="L18" s="39"/>
    </row>
    <row r="19" spans="1:12" s="60" customFormat="1">
      <c r="A19" s="39"/>
      <c r="B19" s="55" t="s">
        <v>25</v>
      </c>
      <c r="C19" s="56" t="str">
        <f>BQResto400!C52</f>
        <v>PEKERJAAN WIFI</v>
      </c>
      <c r="D19" s="58"/>
      <c r="E19" s="58"/>
      <c r="F19" s="58"/>
      <c r="G19" s="58"/>
      <c r="H19" s="483">
        <f>BQResto400!K65</f>
        <v>27000000</v>
      </c>
      <c r="I19" s="39"/>
      <c r="J19" s="39"/>
      <c r="K19" s="39"/>
      <c r="L19" s="39"/>
    </row>
    <row r="20" spans="1:12" s="60" customFormat="1">
      <c r="A20" s="39"/>
      <c r="B20" s="55" t="s">
        <v>27</v>
      </c>
      <c r="C20" s="56" t="str">
        <f>BQResto400!C67</f>
        <v>-</v>
      </c>
      <c r="D20" s="58"/>
      <c r="E20" s="58"/>
      <c r="F20" s="58"/>
      <c r="G20" s="58"/>
      <c r="H20" s="483">
        <f>BQResto400!K70</f>
        <v>0</v>
      </c>
      <c r="I20" s="39"/>
      <c r="J20" s="39"/>
      <c r="K20" s="39"/>
      <c r="L20" s="39"/>
    </row>
    <row r="21" spans="1:12" s="60" customFormat="1">
      <c r="A21" s="39"/>
      <c r="B21" s="55" t="s">
        <v>28</v>
      </c>
      <c r="C21" s="56" t="str">
        <f>BQResto400!C72</f>
        <v>PEKERJAAN PABX</v>
      </c>
      <c r="D21" s="58"/>
      <c r="E21" s="58"/>
      <c r="F21" s="58"/>
      <c r="G21" s="58"/>
      <c r="H21" s="483">
        <f>BQResto400!K81</f>
        <v>17700000</v>
      </c>
      <c r="I21" s="39"/>
      <c r="J21" s="39"/>
      <c r="K21" s="39"/>
      <c r="L21" s="39"/>
    </row>
    <row r="22" spans="1:12" s="60" customFormat="1">
      <c r="A22" s="39"/>
      <c r="B22" s="55" t="s">
        <v>30</v>
      </c>
      <c r="C22" s="56" t="str">
        <f>BQResto400!C82</f>
        <v>-</v>
      </c>
      <c r="D22" s="58"/>
      <c r="E22" s="58"/>
      <c r="F22" s="58"/>
      <c r="G22" s="58"/>
      <c r="H22" s="483">
        <f>BQResto400!K105</f>
        <v>0</v>
      </c>
      <c r="I22" s="39"/>
      <c r="J22" s="39"/>
      <c r="K22" s="39"/>
      <c r="L22" s="39"/>
    </row>
    <row r="23" spans="1:12" s="60" customFormat="1">
      <c r="A23" s="39"/>
      <c r="B23" s="55" t="s">
        <v>33</v>
      </c>
      <c r="C23" s="56" t="str">
        <f>BQResto400!C106</f>
        <v>-</v>
      </c>
      <c r="D23" s="58"/>
      <c r="E23" s="58"/>
      <c r="F23" s="58"/>
      <c r="G23" s="58"/>
      <c r="H23" s="483">
        <f>BQResto400!K110</f>
        <v>0</v>
      </c>
      <c r="I23" s="39"/>
      <c r="J23" s="39"/>
      <c r="K23" s="39"/>
      <c r="L23" s="39"/>
    </row>
    <row r="24" spans="1:12" s="60" customFormat="1">
      <c r="A24" s="39"/>
      <c r="B24" s="55" t="s">
        <v>34</v>
      </c>
      <c r="C24" s="56" t="str">
        <f>BQResto400!C111</f>
        <v>-</v>
      </c>
      <c r="D24" s="58"/>
      <c r="E24" s="58"/>
      <c r="F24" s="58"/>
      <c r="G24" s="58"/>
      <c r="H24" s="483">
        <f>BQResto400!K117</f>
        <v>0</v>
      </c>
      <c r="I24" s="39"/>
      <c r="J24" s="39"/>
      <c r="K24" s="39"/>
      <c r="L24" s="39"/>
    </row>
    <row r="25" spans="1:12" s="60" customFormat="1">
      <c r="A25" s="39"/>
      <c r="B25" s="55" t="s">
        <v>36</v>
      </c>
      <c r="C25" s="56" t="str">
        <f>BQResto400!C118</f>
        <v>-</v>
      </c>
      <c r="D25" s="58"/>
      <c r="E25" s="58"/>
      <c r="F25" s="58"/>
      <c r="G25" s="58"/>
      <c r="H25" s="483">
        <f>BQResto400!K126</f>
        <v>0</v>
      </c>
      <c r="I25" s="39"/>
      <c r="J25" s="39"/>
      <c r="K25" s="39"/>
      <c r="L25" s="39"/>
    </row>
    <row r="26" spans="1:12" s="60" customFormat="1">
      <c r="A26" s="39"/>
      <c r="B26" s="55" t="s">
        <v>37</v>
      </c>
      <c r="C26" s="56" t="str">
        <f>BQResto400!C127</f>
        <v>-</v>
      </c>
      <c r="D26" s="58"/>
      <c r="E26" s="58"/>
      <c r="F26" s="58"/>
      <c r="G26" s="58"/>
      <c r="H26" s="483">
        <f>BQResto400!K134</f>
        <v>0</v>
      </c>
      <c r="I26" s="39"/>
      <c r="J26" s="39"/>
      <c r="K26" s="39"/>
      <c r="L26" s="39"/>
    </row>
    <row r="27" spans="1:12" ht="16.5" thickBot="1">
      <c r="B27" s="69"/>
      <c r="C27" s="70"/>
      <c r="D27" s="70"/>
      <c r="E27" s="70"/>
      <c r="F27" s="70"/>
      <c r="G27" s="70"/>
      <c r="H27" s="484"/>
    </row>
    <row r="28" spans="1:12" ht="17.25" thickTop="1" thickBot="1">
      <c r="B28" s="72"/>
      <c r="C28" s="73"/>
      <c r="D28" s="73"/>
      <c r="E28" s="73"/>
      <c r="F28" s="74" t="s">
        <v>41</v>
      </c>
      <c r="G28" s="74"/>
      <c r="H28" s="75">
        <f>SUM(H14:H27)</f>
        <v>150400000</v>
      </c>
    </row>
    <row r="29" spans="1:12" ht="16.5" thickTop="1">
      <c r="B29" s="76"/>
      <c r="C29" s="77"/>
      <c r="D29" s="77"/>
      <c r="E29" s="77"/>
      <c r="F29" s="77"/>
      <c r="G29" s="77"/>
      <c r="H29" s="78"/>
    </row>
    <row r="30" spans="1:12">
      <c r="B30" s="79"/>
      <c r="C30" s="56"/>
      <c r="D30" s="56"/>
      <c r="E30" s="58"/>
      <c r="F30" s="40" t="s">
        <v>5</v>
      </c>
      <c r="G30" s="43">
        <v>3</v>
      </c>
      <c r="H30" s="715">
        <f>G30*H28</f>
        <v>451200000</v>
      </c>
    </row>
    <row r="31" spans="1:12">
      <c r="B31" s="81"/>
      <c r="C31" s="41"/>
      <c r="E31" s="44"/>
      <c r="H31" s="82"/>
    </row>
    <row r="32" spans="1:12">
      <c r="B32" s="81"/>
      <c r="C32" s="41"/>
      <c r="E32" s="44"/>
      <c r="H32" s="83"/>
    </row>
    <row r="33" spans="2:8" ht="16.5" thickBot="1">
      <c r="B33" s="84"/>
      <c r="C33" s="85"/>
      <c r="D33" s="85"/>
      <c r="E33" s="85"/>
      <c r="F33" s="85"/>
      <c r="G33" s="85"/>
      <c r="H33" s="86"/>
    </row>
    <row r="34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D58360-6095-4A1F-B57A-88A5077B7B52}">
  <dimension ref="A1:R139"/>
  <sheetViews>
    <sheetView topLeftCell="A121" zoomScale="90" zoomScaleNormal="90" workbookViewId="0">
      <selection activeCell="C78" sqref="C78"/>
    </sheetView>
  </sheetViews>
  <sheetFormatPr defaultColWidth="9.140625" defaultRowHeight="15.75"/>
  <cols>
    <col min="1" max="1" width="9.140625" style="814"/>
    <col min="2" max="2" width="6.42578125" style="814" customWidth="1"/>
    <col min="3" max="7" width="10.7109375" style="814" customWidth="1"/>
    <col min="8" max="8" width="8.7109375" style="815" customWidth="1"/>
    <col min="9" max="9" width="9.42578125" style="849" customWidth="1"/>
    <col min="10" max="10" width="14.28515625" style="416" customWidth="1"/>
    <col min="11" max="11" width="15.5703125" style="814" customWidth="1"/>
    <col min="12" max="12" width="9.28515625" style="814" customWidth="1"/>
    <col min="13" max="13" width="12.42578125" style="814" bestFit="1" customWidth="1"/>
    <col min="14" max="16" width="9.140625" style="814"/>
    <col min="17" max="17" width="14.140625" style="814" customWidth="1"/>
    <col min="18" max="18" width="12.28515625" style="814" bestFit="1" customWidth="1"/>
    <col min="19" max="16384" width="9.140625" style="814"/>
  </cols>
  <sheetData>
    <row r="1" spans="2:12">
      <c r="B1" s="35"/>
      <c r="C1" s="35"/>
      <c r="D1" s="35"/>
      <c r="E1" s="35"/>
      <c r="F1" s="35"/>
      <c r="G1" s="35"/>
      <c r="H1" s="35"/>
      <c r="I1" s="35"/>
      <c r="J1" s="35"/>
      <c r="K1" s="839"/>
    </row>
    <row r="2" spans="2:12">
      <c r="B2" s="4" t="s">
        <v>0</v>
      </c>
      <c r="C2" s="2"/>
      <c r="D2" s="1"/>
      <c r="E2" s="5"/>
      <c r="F2" s="6"/>
      <c r="G2" s="1"/>
      <c r="H2" s="1"/>
      <c r="I2" s="39"/>
      <c r="J2" s="3"/>
      <c r="K2" s="3"/>
    </row>
    <row r="3" spans="2:12">
      <c r="B3" s="420" t="s">
        <v>811</v>
      </c>
      <c r="C3" s="2"/>
      <c r="D3" s="1"/>
      <c r="E3" s="5"/>
      <c r="F3" s="6"/>
      <c r="G3" s="1"/>
      <c r="H3" s="1"/>
      <c r="I3" s="39"/>
      <c r="J3" s="3"/>
      <c r="K3" s="3"/>
    </row>
    <row r="4" spans="2:12">
      <c r="B4" s="7" t="s">
        <v>1</v>
      </c>
      <c r="C4" s="2"/>
      <c r="D4" s="1"/>
      <c r="E4" s="5"/>
      <c r="F4" s="6"/>
      <c r="G4" s="1"/>
      <c r="H4" s="1"/>
      <c r="I4" s="39"/>
      <c r="J4" s="3"/>
      <c r="K4" s="3"/>
    </row>
    <row r="5" spans="2:12">
      <c r="B5" s="4" t="s">
        <v>2</v>
      </c>
      <c r="C5" s="2"/>
      <c r="D5" s="1"/>
      <c r="E5" s="5"/>
      <c r="F5" s="6"/>
      <c r="G5" s="1"/>
      <c r="H5" s="1"/>
      <c r="I5" s="39"/>
      <c r="J5" s="3"/>
      <c r="K5" s="3"/>
    </row>
    <row r="6" spans="2:12">
      <c r="B6" s="7" t="s">
        <v>3</v>
      </c>
      <c r="C6" s="2"/>
      <c r="D6" s="1"/>
      <c r="E6" s="5"/>
      <c r="F6" s="6"/>
      <c r="G6" s="1"/>
      <c r="H6" s="1"/>
      <c r="I6" s="39"/>
      <c r="J6" s="3"/>
      <c r="K6" s="3"/>
    </row>
    <row r="7" spans="2:12" ht="16.5" thickBot="1">
      <c r="B7" s="1"/>
      <c r="C7" s="1"/>
      <c r="D7" s="1"/>
      <c r="E7" s="1"/>
      <c r="F7" s="1"/>
      <c r="G7" s="1"/>
      <c r="H7" s="1"/>
      <c r="I7" s="1136" t="str">
        <f>'03SumBQResto400'!F8</f>
        <v>No. 003/RAB-Blok A-SSBP/I/2021</v>
      </c>
      <c r="J7" s="1136"/>
      <c r="K7" s="1136"/>
    </row>
    <row r="8" spans="2:12" ht="16.5" thickTop="1">
      <c r="B8" s="8"/>
      <c r="C8" s="9"/>
      <c r="D8" s="9"/>
      <c r="E8" s="9"/>
      <c r="F8" s="9"/>
      <c r="G8" s="9"/>
      <c r="H8" s="10"/>
      <c r="I8" s="836"/>
      <c r="J8" s="12" t="s">
        <v>4</v>
      </c>
      <c r="K8" s="620" t="s">
        <v>5</v>
      </c>
    </row>
    <row r="9" spans="2:12">
      <c r="B9" s="14" t="s">
        <v>6</v>
      </c>
      <c r="C9" s="15" t="s">
        <v>7</v>
      </c>
      <c r="D9" s="15"/>
      <c r="E9" s="15"/>
      <c r="F9" s="15"/>
      <c r="G9" s="15"/>
      <c r="H9" s="16" t="s">
        <v>8</v>
      </c>
      <c r="I9" s="837" t="s">
        <v>9</v>
      </c>
      <c r="J9" s="18" t="s">
        <v>8</v>
      </c>
      <c r="K9" s="621" t="s">
        <v>4</v>
      </c>
      <c r="L9" s="1137"/>
    </row>
    <row r="10" spans="2:12" ht="16.5" thickBot="1">
      <c r="B10" s="20"/>
      <c r="C10" s="21"/>
      <c r="D10" s="21"/>
      <c r="E10" s="21"/>
      <c r="F10" s="21"/>
      <c r="G10" s="21"/>
      <c r="H10" s="22"/>
      <c r="I10" s="838"/>
      <c r="J10" s="24" t="s">
        <v>10</v>
      </c>
      <c r="K10" s="622" t="s">
        <v>10</v>
      </c>
      <c r="L10" s="1138"/>
    </row>
    <row r="11" spans="2:12" ht="16.5" thickTop="1">
      <c r="B11" s="821"/>
      <c r="C11" s="422"/>
      <c r="D11" s="423"/>
      <c r="E11" s="423"/>
      <c r="F11" s="423"/>
      <c r="G11" s="424"/>
      <c r="H11" s="423"/>
      <c r="I11" s="565"/>
      <c r="J11" s="426"/>
      <c r="K11" s="822"/>
      <c r="L11" s="840"/>
    </row>
    <row r="12" spans="2:12">
      <c r="B12" s="428" t="s">
        <v>339</v>
      </c>
      <c r="C12" s="429" t="s">
        <v>340</v>
      </c>
      <c r="D12" s="816"/>
      <c r="E12" s="816"/>
      <c r="F12" s="816"/>
      <c r="G12" s="430"/>
      <c r="I12" s="571"/>
      <c r="J12" s="432"/>
      <c r="K12" s="433"/>
      <c r="L12" s="841"/>
    </row>
    <row r="13" spans="2:12">
      <c r="B13" s="421">
        <v>1</v>
      </c>
      <c r="C13" s="434" t="str">
        <f>[80]Sheet1!$B$3</f>
        <v xml:space="preserve">Pembersihan awal dan Selama Proyek Berjalan </v>
      </c>
      <c r="G13" s="435"/>
      <c r="H13" s="559" t="s">
        <v>357</v>
      </c>
      <c r="I13" s="453">
        <v>1</v>
      </c>
      <c r="J13" s="432">
        <v>400000</v>
      </c>
      <c r="K13" s="437">
        <f>[80]Sheet1!$D$3</f>
        <v>1000000</v>
      </c>
      <c r="L13" s="842"/>
    </row>
    <row r="14" spans="2:12">
      <c r="B14" s="421">
        <f>B13+1</f>
        <v>2</v>
      </c>
      <c r="C14" s="434" t="str">
        <f>[80]Sheet1!$B$4</f>
        <v>Pembersihan akhir sampah dll</v>
      </c>
      <c r="G14" s="435"/>
      <c r="H14" s="559" t="s">
        <v>357</v>
      </c>
      <c r="I14" s="453">
        <v>1</v>
      </c>
      <c r="J14" s="432">
        <v>20000</v>
      </c>
      <c r="K14" s="437">
        <f>[80]Sheet1!$D$4</f>
        <v>1000000</v>
      </c>
      <c r="L14" s="842"/>
    </row>
    <row r="15" spans="2:12">
      <c r="B15" s="421">
        <f>B14+1</f>
        <v>3</v>
      </c>
      <c r="C15" s="1113" t="str">
        <f>[80]Sheet1!$B$5</f>
        <v>Survey</v>
      </c>
      <c r="G15" s="435"/>
      <c r="H15" s="559" t="s">
        <v>357</v>
      </c>
      <c r="I15" s="453">
        <v>1</v>
      </c>
      <c r="J15" s="432">
        <v>50000</v>
      </c>
      <c r="K15" s="437">
        <f>[80]Sheet1!$D$5</f>
        <v>2000000</v>
      </c>
      <c r="L15" s="842"/>
    </row>
    <row r="16" spans="2:12">
      <c r="B16" s="421">
        <f>B15+1</f>
        <v>4</v>
      </c>
      <c r="C16" s="1113" t="str">
        <f>[80]Sheet1!$B$6</f>
        <v>Pembuatan gambar teknis</v>
      </c>
      <c r="G16" s="435"/>
      <c r="H16" s="559" t="s">
        <v>357</v>
      </c>
      <c r="I16" s="453">
        <v>1</v>
      </c>
      <c r="J16" s="432">
        <v>1000000</v>
      </c>
      <c r="K16" s="437">
        <f>[80]Sheet1!$D$6</f>
        <v>1000000</v>
      </c>
      <c r="L16" s="842"/>
    </row>
    <row r="17" spans="2:13">
      <c r="B17" s="421">
        <f>B16+1</f>
        <v>5</v>
      </c>
      <c r="C17" s="434"/>
      <c r="G17" s="435"/>
      <c r="I17" s="453">
        <v>0</v>
      </c>
      <c r="J17" s="432">
        <v>0</v>
      </c>
      <c r="K17" s="437">
        <f>I17*J17</f>
        <v>0</v>
      </c>
      <c r="L17" s="842"/>
    </row>
    <row r="18" spans="2:13">
      <c r="B18" s="438"/>
      <c r="C18" s="434"/>
      <c r="G18" s="435"/>
      <c r="I18" s="453"/>
      <c r="J18" s="432"/>
      <c r="K18" s="437"/>
      <c r="L18" s="842"/>
    </row>
    <row r="19" spans="2:13">
      <c r="B19" s="421"/>
      <c r="C19" s="434"/>
      <c r="G19" s="435"/>
      <c r="I19" s="453"/>
      <c r="J19" s="439" t="s">
        <v>348</v>
      </c>
      <c r="K19" s="440">
        <f>SUM(K13:K17)</f>
        <v>5000000</v>
      </c>
      <c r="L19" s="843"/>
      <c r="M19" s="818"/>
    </row>
    <row r="20" spans="2:13">
      <c r="B20" s="428" t="s">
        <v>349</v>
      </c>
      <c r="C20" s="429" t="s">
        <v>1005</v>
      </c>
      <c r="D20" s="816"/>
      <c r="E20" s="816"/>
      <c r="F20" s="816"/>
      <c r="G20" s="430"/>
      <c r="I20" s="453"/>
      <c r="J20" s="432"/>
      <c r="K20" s="437"/>
      <c r="L20" s="841"/>
    </row>
    <row r="21" spans="2:13">
      <c r="B21" s="421">
        <v>1</v>
      </c>
      <c r="C21" s="1114" t="str">
        <f>[80]Sheet1!$B$8</f>
        <v> Kabel UTP</v>
      </c>
      <c r="D21" s="816"/>
      <c r="E21" s="816"/>
      <c r="F21" s="816"/>
      <c r="G21" s="430"/>
      <c r="H21" s="272" t="s">
        <v>1006</v>
      </c>
      <c r="I21" s="453">
        <v>6</v>
      </c>
      <c r="J21" s="432">
        <f>[80]Sheet1!$D$8</f>
        <v>2000000</v>
      </c>
      <c r="K21" s="437">
        <f t="shared" ref="K21:K27" si="0">I21*J21</f>
        <v>12000000</v>
      </c>
      <c r="L21" s="842"/>
    </row>
    <row r="22" spans="2:13">
      <c r="B22" s="421">
        <f t="shared" ref="B22:B27" si="1">B21+1</f>
        <v>2</v>
      </c>
      <c r="C22" s="1114" t="str">
        <f>[80]Sheet1!$B$9</f>
        <v>Konektor RJ-45</v>
      </c>
      <c r="D22" s="816"/>
      <c r="E22" s="816"/>
      <c r="F22" s="816"/>
      <c r="G22" s="430"/>
      <c r="H22" s="272" t="s">
        <v>1013</v>
      </c>
      <c r="I22" s="453">
        <v>15</v>
      </c>
      <c r="J22" s="432">
        <f>[80]Sheet1!$D$9</f>
        <v>1500000</v>
      </c>
      <c r="K22" s="437">
        <f t="shared" si="0"/>
        <v>22500000</v>
      </c>
      <c r="L22" s="842"/>
    </row>
    <row r="23" spans="2:13">
      <c r="B23" s="421">
        <f t="shared" si="1"/>
        <v>3</v>
      </c>
      <c r="C23" s="1114" t="str">
        <f>[80]Sheet1!$B$10</f>
        <v>Kartu Jaringan (LAN Card)</v>
      </c>
      <c r="D23" s="816"/>
      <c r="E23" s="816"/>
      <c r="F23" s="816"/>
      <c r="G23" s="430"/>
      <c r="H23" s="272" t="s">
        <v>392</v>
      </c>
      <c r="I23" s="453">
        <v>1</v>
      </c>
      <c r="J23" s="432">
        <f>[80]Sheet1!$D$10</f>
        <v>1500000</v>
      </c>
      <c r="K23" s="437">
        <f t="shared" si="0"/>
        <v>1500000</v>
      </c>
      <c r="L23" s="842"/>
    </row>
    <row r="24" spans="2:13">
      <c r="B24" s="421">
        <f t="shared" si="1"/>
        <v>4</v>
      </c>
      <c r="C24" s="1114" t="str">
        <f>[80]Sheet1!$B$11</f>
        <v>Switch / Hub Managable</v>
      </c>
      <c r="D24" s="816"/>
      <c r="E24" s="816"/>
      <c r="F24" s="816"/>
      <c r="G24" s="430"/>
      <c r="H24" s="272" t="s">
        <v>392</v>
      </c>
      <c r="I24" s="453">
        <v>1</v>
      </c>
      <c r="J24" s="432">
        <f>[80]Sheet1!$D$11</f>
        <v>10000000</v>
      </c>
      <c r="K24" s="437">
        <f t="shared" si="0"/>
        <v>10000000</v>
      </c>
      <c r="L24" s="842"/>
    </row>
    <row r="25" spans="2:13">
      <c r="B25" s="421">
        <f t="shared" si="1"/>
        <v>5</v>
      </c>
      <c r="C25" s="1114" t="str">
        <f>[80]Sheet1!$B$12</f>
        <v>Alat dukung</v>
      </c>
      <c r="D25" s="816"/>
      <c r="E25" s="816"/>
      <c r="F25" s="816"/>
      <c r="G25" s="430"/>
      <c r="H25" s="272" t="s">
        <v>392</v>
      </c>
      <c r="I25" s="453">
        <v>1</v>
      </c>
      <c r="J25" s="432">
        <f>[80]Sheet1!$D$12</f>
        <v>500000</v>
      </c>
      <c r="K25" s="437">
        <f t="shared" si="0"/>
        <v>500000</v>
      </c>
      <c r="L25" s="842"/>
    </row>
    <row r="26" spans="2:13">
      <c r="B26" s="421">
        <f t="shared" si="1"/>
        <v>6</v>
      </c>
      <c r="C26" s="434"/>
      <c r="G26" s="435"/>
      <c r="I26" s="453">
        <v>0</v>
      </c>
      <c r="J26" s="432">
        <v>0</v>
      </c>
      <c r="K26" s="437">
        <f t="shared" si="0"/>
        <v>0</v>
      </c>
      <c r="L26" s="842"/>
      <c r="M26" s="818"/>
    </row>
    <row r="27" spans="2:13">
      <c r="B27" s="421">
        <f t="shared" si="1"/>
        <v>7</v>
      </c>
      <c r="C27" s="434"/>
      <c r="G27" s="435"/>
      <c r="I27" s="453">
        <v>0</v>
      </c>
      <c r="J27" s="432">
        <v>0</v>
      </c>
      <c r="K27" s="437">
        <f t="shared" si="0"/>
        <v>0</v>
      </c>
      <c r="L27" s="842"/>
    </row>
    <row r="28" spans="2:13">
      <c r="B28" s="421"/>
      <c r="C28" s="434"/>
      <c r="G28" s="435"/>
      <c r="I28" s="453"/>
      <c r="J28" s="432"/>
      <c r="K28" s="437"/>
      <c r="L28" s="842"/>
    </row>
    <row r="29" spans="2:13">
      <c r="B29" s="421"/>
      <c r="C29" s="434"/>
      <c r="G29" s="435"/>
      <c r="I29" s="453"/>
      <c r="J29" s="439" t="s">
        <v>353</v>
      </c>
      <c r="K29" s="440">
        <f>SUM(K21:K27)</f>
        <v>46500000</v>
      </c>
      <c r="L29" s="843"/>
      <c r="M29" s="818"/>
    </row>
    <row r="30" spans="2:13">
      <c r="B30" s="428" t="s">
        <v>354</v>
      </c>
      <c r="C30" s="429" t="s">
        <v>1007</v>
      </c>
      <c r="D30" s="816"/>
      <c r="E30" s="816"/>
      <c r="F30" s="816"/>
      <c r="G30" s="430"/>
      <c r="I30" s="453"/>
      <c r="J30" s="432"/>
      <c r="K30" s="437"/>
      <c r="L30" s="841"/>
    </row>
    <row r="31" spans="2:13">
      <c r="B31" s="421">
        <v>1</v>
      </c>
      <c r="C31" s="1114" t="str">
        <f>[80]Sheet1!$B$14</f>
        <v>Cctv indoor</v>
      </c>
      <c r="G31" s="435"/>
      <c r="H31" s="272" t="s">
        <v>392</v>
      </c>
      <c r="I31" s="453">
        <v>3</v>
      </c>
      <c r="J31" s="432">
        <f>BQResto300!I48</f>
        <v>3500000</v>
      </c>
      <c r="K31" s="437">
        <f t="shared" ref="K31:K39" si="2">I31*J31</f>
        <v>10500000</v>
      </c>
      <c r="L31" s="842"/>
    </row>
    <row r="32" spans="2:13">
      <c r="B32" s="421">
        <f t="shared" ref="B32:B38" si="3">B31+1</f>
        <v>2</v>
      </c>
      <c r="C32" s="1114" t="str">
        <f>[80]Sheet1!$B$15</f>
        <v>Cctv outdoor</v>
      </c>
      <c r="G32" s="435"/>
      <c r="H32" s="272" t="s">
        <v>392</v>
      </c>
      <c r="I32" s="453">
        <v>0</v>
      </c>
      <c r="J32" s="432">
        <f>BQResto300!I49</f>
        <v>3500000</v>
      </c>
      <c r="K32" s="437">
        <f t="shared" si="2"/>
        <v>0</v>
      </c>
      <c r="L32" s="842"/>
    </row>
    <row r="33" spans="2:13">
      <c r="B33" s="421">
        <f t="shared" si="3"/>
        <v>3</v>
      </c>
      <c r="C33" s="1114" t="str">
        <f>[80]Sheet1!$B$16</f>
        <v>DVR</v>
      </c>
      <c r="G33" s="435"/>
      <c r="H33" s="272" t="s">
        <v>392</v>
      </c>
      <c r="I33" s="453">
        <v>3</v>
      </c>
      <c r="J33" s="432">
        <f>BQResto300!I50</f>
        <v>5000000</v>
      </c>
      <c r="K33" s="437">
        <f t="shared" si="2"/>
        <v>15000000</v>
      </c>
      <c r="L33" s="842"/>
      <c r="M33" s="819"/>
    </row>
    <row r="34" spans="2:13">
      <c r="B34" s="421">
        <f t="shared" si="3"/>
        <v>4</v>
      </c>
      <c r="C34" s="1114" t="str">
        <f>[80]Sheet1!$B$17</f>
        <v>Adapter dan Power Supply.</v>
      </c>
      <c r="G34" s="435"/>
      <c r="H34" s="272" t="s">
        <v>392</v>
      </c>
      <c r="I34" s="453">
        <v>3</v>
      </c>
      <c r="J34" s="432">
        <f>BQResto300!I51</f>
        <v>900000</v>
      </c>
      <c r="K34" s="437">
        <f t="shared" si="2"/>
        <v>2700000</v>
      </c>
      <c r="L34" s="842"/>
      <c r="M34" s="819"/>
    </row>
    <row r="35" spans="2:13">
      <c r="B35" s="421">
        <f t="shared" si="3"/>
        <v>5</v>
      </c>
      <c r="C35" s="1114" t="str">
        <f>[80]Sheet1!$B$18</f>
        <v>Kabel Power.</v>
      </c>
      <c r="G35" s="435"/>
      <c r="H35" s="272" t="s">
        <v>1006</v>
      </c>
      <c r="I35" s="453">
        <v>3</v>
      </c>
      <c r="J35" s="432">
        <f>BQResto300!I52</f>
        <v>1000000</v>
      </c>
      <c r="K35" s="437">
        <f t="shared" si="2"/>
        <v>3000000</v>
      </c>
      <c r="L35" s="842"/>
      <c r="M35" s="819"/>
    </row>
    <row r="36" spans="2:13">
      <c r="B36" s="421">
        <f t="shared" si="3"/>
        <v>6</v>
      </c>
      <c r="C36" s="1114" t="str">
        <f>[80]Sheet1!$B$19</f>
        <v>Crimp Kabel.</v>
      </c>
      <c r="G36" s="435"/>
      <c r="H36" s="272" t="s">
        <v>392</v>
      </c>
      <c r="I36" s="453">
        <v>3</v>
      </c>
      <c r="J36" s="432">
        <f>BQResto300!I53</f>
        <v>2000000</v>
      </c>
      <c r="K36" s="437">
        <f t="shared" si="2"/>
        <v>6000000</v>
      </c>
      <c r="L36" s="842"/>
      <c r="M36" s="819"/>
    </row>
    <row r="37" spans="2:13">
      <c r="B37" s="421">
        <f t="shared" si="3"/>
        <v>7</v>
      </c>
      <c r="C37" s="1114" t="str">
        <f>[80]Sheet1!$B$20</f>
        <v>Kabel Coaxial.</v>
      </c>
      <c r="D37" s="442"/>
      <c r="E37" s="442"/>
      <c r="F37" s="442"/>
      <c r="G37" s="443"/>
      <c r="H37" s="272" t="s">
        <v>1006</v>
      </c>
      <c r="I37" s="453">
        <v>3</v>
      </c>
      <c r="J37" s="432">
        <f>BQResto300!I54</f>
        <v>3500000</v>
      </c>
      <c r="K37" s="437">
        <f t="shared" si="2"/>
        <v>10500000</v>
      </c>
      <c r="L37" s="842"/>
      <c r="M37" s="819"/>
    </row>
    <row r="38" spans="2:13">
      <c r="B38" s="421">
        <f t="shared" si="3"/>
        <v>8</v>
      </c>
      <c r="C38" s="1114" t="str">
        <f>[80]Sheet1!$B$21</f>
        <v>Konektor RF.</v>
      </c>
      <c r="G38" s="435"/>
      <c r="H38" s="272" t="s">
        <v>1013</v>
      </c>
      <c r="I38" s="453">
        <v>3</v>
      </c>
      <c r="J38" s="432">
        <f>BQResto300!I55</f>
        <v>1000000</v>
      </c>
      <c r="K38" s="437">
        <f t="shared" si="2"/>
        <v>3000000</v>
      </c>
      <c r="L38" s="842"/>
      <c r="M38" s="819"/>
    </row>
    <row r="39" spans="2:13">
      <c r="B39" s="421">
        <v>9</v>
      </c>
      <c r="C39" s="434"/>
      <c r="G39" s="435"/>
      <c r="I39" s="453">
        <v>0</v>
      </c>
      <c r="J39" s="432">
        <v>0</v>
      </c>
      <c r="K39" s="437">
        <f t="shared" si="2"/>
        <v>0</v>
      </c>
      <c r="L39" s="842"/>
      <c r="M39" s="819"/>
    </row>
    <row r="40" spans="2:13">
      <c r="B40" s="438"/>
      <c r="C40" s="434"/>
      <c r="G40" s="435"/>
      <c r="I40" s="453"/>
      <c r="J40" s="432"/>
      <c r="K40" s="437"/>
      <c r="L40" s="842"/>
      <c r="M40" s="819"/>
    </row>
    <row r="41" spans="2:13">
      <c r="B41" s="421"/>
      <c r="C41" s="434"/>
      <c r="G41" s="435"/>
      <c r="I41" s="453"/>
      <c r="J41" s="439" t="s">
        <v>358</v>
      </c>
      <c r="K41" s="440">
        <f>SUM(K31:K40)</f>
        <v>50700000</v>
      </c>
      <c r="L41" s="843"/>
      <c r="M41" s="818"/>
    </row>
    <row r="42" spans="2:13">
      <c r="B42" s="428" t="s">
        <v>359</v>
      </c>
      <c r="C42" s="568" t="s">
        <v>1009</v>
      </c>
      <c r="D42" s="816"/>
      <c r="E42" s="816"/>
      <c r="F42" s="816"/>
      <c r="G42" s="430"/>
      <c r="I42" s="453"/>
      <c r="J42" s="432"/>
      <c r="K42" s="437"/>
      <c r="L42" s="841"/>
    </row>
    <row r="43" spans="2:13">
      <c r="B43" s="421">
        <v>1</v>
      </c>
      <c r="C43" s="1114" t="str">
        <f>[80]Sheet1!$B$37</f>
        <v>Rumah Kabel</v>
      </c>
      <c r="G43" s="435"/>
      <c r="H43" s="272" t="s">
        <v>1014</v>
      </c>
      <c r="I43" s="583">
        <v>1</v>
      </c>
      <c r="J43" s="446">
        <f>[80]Sheet1!$D$37</f>
        <v>1500000</v>
      </c>
      <c r="K43" s="437">
        <f>I43*J43</f>
        <v>1500000</v>
      </c>
      <c r="L43" s="842"/>
    </row>
    <row r="44" spans="2:13">
      <c r="B44" s="421">
        <f>B43+1</f>
        <v>2</v>
      </c>
      <c r="C44" s="1114" t="str">
        <f>[80]Sheet1!$B$38</f>
        <v>paku-paku &amp; Klem</v>
      </c>
      <c r="G44" s="435"/>
      <c r="H44" s="272" t="s">
        <v>1015</v>
      </c>
      <c r="I44" s="583">
        <v>1</v>
      </c>
      <c r="J44" s="446">
        <f>[80]Sheet1!$D$38</f>
        <v>2000000</v>
      </c>
      <c r="K44" s="437">
        <f>I44*J44</f>
        <v>2000000</v>
      </c>
      <c r="L44" s="842"/>
    </row>
    <row r="45" spans="2:13">
      <c r="B45" s="421"/>
      <c r="C45" s="434"/>
      <c r="G45" s="435"/>
      <c r="I45" s="583"/>
      <c r="J45" s="446"/>
      <c r="K45" s="437"/>
      <c r="L45" s="842"/>
    </row>
    <row r="46" spans="2:13">
      <c r="B46" s="421"/>
      <c r="C46" s="434"/>
      <c r="G46" s="435"/>
      <c r="I46" s="453"/>
      <c r="J46" s="439" t="s">
        <v>361</v>
      </c>
      <c r="K46" s="440">
        <f>SUM(K43:K45)</f>
        <v>3500000</v>
      </c>
      <c r="L46" s="843"/>
      <c r="M46" s="817"/>
    </row>
    <row r="47" spans="2:13">
      <c r="B47" s="428" t="s">
        <v>362</v>
      </c>
      <c r="C47" s="429" t="s">
        <v>62</v>
      </c>
      <c r="D47" s="816"/>
      <c r="E47" s="816"/>
      <c r="F47" s="816"/>
      <c r="G47" s="430"/>
      <c r="I47" s="453"/>
      <c r="J47" s="432"/>
      <c r="K47" s="437"/>
      <c r="L47" s="841"/>
      <c r="M47" s="818"/>
    </row>
    <row r="48" spans="2:13">
      <c r="B48" s="421">
        <v>1</v>
      </c>
      <c r="C48" s="434"/>
      <c r="G48" s="435"/>
      <c r="I48" s="584">
        <v>0</v>
      </c>
      <c r="J48" s="432">
        <v>0</v>
      </c>
      <c r="K48" s="437">
        <f>I48*J48</f>
        <v>0</v>
      </c>
      <c r="L48" s="842"/>
    </row>
    <row r="49" spans="2:17">
      <c r="B49" s="421">
        <v>2</v>
      </c>
      <c r="C49" s="434"/>
      <c r="G49" s="435"/>
      <c r="I49" s="453">
        <v>0</v>
      </c>
      <c r="J49" s="432">
        <v>0</v>
      </c>
      <c r="K49" s="437">
        <f>I49*J49</f>
        <v>0</v>
      </c>
      <c r="L49" s="842"/>
    </row>
    <row r="50" spans="2:17">
      <c r="B50" s="671"/>
      <c r="C50" s="434"/>
      <c r="G50" s="435"/>
      <c r="I50" s="453"/>
      <c r="J50" s="432"/>
      <c r="K50" s="437"/>
      <c r="L50" s="842"/>
    </row>
    <row r="51" spans="2:17">
      <c r="B51" s="421"/>
      <c r="C51" s="434"/>
      <c r="G51" s="435"/>
      <c r="I51" s="453"/>
      <c r="J51" s="439" t="s">
        <v>365</v>
      </c>
      <c r="K51" s="440">
        <f>SUM(K48:K49)</f>
        <v>0</v>
      </c>
      <c r="L51" s="843"/>
      <c r="M51" s="817"/>
      <c r="Q51" s="818"/>
    </row>
    <row r="52" spans="2:17">
      <c r="B52" s="449" t="s">
        <v>366</v>
      </c>
      <c r="C52" s="429" t="s">
        <v>1008</v>
      </c>
      <c r="D52" s="816"/>
      <c r="E52" s="816"/>
      <c r="F52" s="816"/>
      <c r="G52" s="430"/>
      <c r="I52" s="453"/>
      <c r="J52" s="432"/>
      <c r="K52" s="437"/>
      <c r="L52" s="841"/>
    </row>
    <row r="53" spans="2:17">
      <c r="B53" s="421">
        <v>1</v>
      </c>
      <c r="C53" s="1114" t="str">
        <f>[80]Sheet1!$B$23</f>
        <v>Acess Point</v>
      </c>
      <c r="D53" s="816"/>
      <c r="E53" s="816"/>
      <c r="F53" s="816"/>
      <c r="G53" s="430"/>
      <c r="H53" s="272" t="s">
        <v>392</v>
      </c>
      <c r="I53" s="453">
        <v>1</v>
      </c>
      <c r="J53" s="432">
        <f>[80]Sheet1!$D$23</f>
        <v>8500000</v>
      </c>
      <c r="K53" s="437">
        <f t="shared" ref="K53:K63" si="4">I53*J53</f>
        <v>8500000</v>
      </c>
      <c r="L53" s="842"/>
    </row>
    <row r="54" spans="2:17">
      <c r="B54" s="421">
        <f t="shared" ref="B54:B63" si="5">B53+1</f>
        <v>2</v>
      </c>
      <c r="C54" s="1114" t="str">
        <f>[80]Sheet1!$B$24</f>
        <v>Antena Omni</v>
      </c>
      <c r="D54" s="816"/>
      <c r="E54" s="816"/>
      <c r="F54" s="816"/>
      <c r="G54" s="430"/>
      <c r="H54" s="272" t="s">
        <v>392</v>
      </c>
      <c r="I54" s="453">
        <v>1</v>
      </c>
      <c r="J54" s="432">
        <f>[80]Sheet1!$D$24</f>
        <v>10000000</v>
      </c>
      <c r="K54" s="437">
        <f t="shared" si="4"/>
        <v>10000000</v>
      </c>
      <c r="L54" s="842"/>
    </row>
    <row r="55" spans="2:17">
      <c r="B55" s="421">
        <f t="shared" si="5"/>
        <v>3</v>
      </c>
      <c r="C55" s="1114" t="str">
        <f>[80]Sheet1!$B$25</f>
        <v>Kabel Pigtail/Kabel Jumper</v>
      </c>
      <c r="G55" s="435"/>
      <c r="H55" s="272" t="s">
        <v>1006</v>
      </c>
      <c r="I55" s="453">
        <v>1</v>
      </c>
      <c r="J55" s="432">
        <f>[80]Sheet1!$D$25</f>
        <v>500000</v>
      </c>
      <c r="K55" s="437">
        <f t="shared" si="4"/>
        <v>500000</v>
      </c>
      <c r="L55" s="842"/>
    </row>
    <row r="56" spans="2:17">
      <c r="B56" s="421">
        <f t="shared" si="5"/>
        <v>4</v>
      </c>
      <c r="C56" s="1114" t="str">
        <f>[80]Sheet1!$B$26</f>
        <v>POE (Power Over Ethernet)</v>
      </c>
      <c r="G56" s="435"/>
      <c r="H56" s="272" t="s">
        <v>392</v>
      </c>
      <c r="I56" s="453">
        <v>1</v>
      </c>
      <c r="J56" s="432">
        <f>[80]Sheet1!$D$26</f>
        <v>2000000</v>
      </c>
      <c r="K56" s="437">
        <f t="shared" si="4"/>
        <v>2000000</v>
      </c>
      <c r="L56" s="842"/>
    </row>
    <row r="57" spans="2:17">
      <c r="B57" s="421">
        <f t="shared" si="5"/>
        <v>5</v>
      </c>
      <c r="C57" s="1114" t="str">
        <f>[80]Sheet1!$B$27</f>
        <v>Kabel UTP/STP</v>
      </c>
      <c r="G57" s="435"/>
      <c r="H57" s="272" t="s">
        <v>1006</v>
      </c>
      <c r="I57" s="453">
        <v>1</v>
      </c>
      <c r="J57" s="432">
        <f>[80]Sheet1!$D$27</f>
        <v>3000000</v>
      </c>
      <c r="K57" s="437">
        <f t="shared" si="4"/>
        <v>3000000</v>
      </c>
      <c r="L57" s="842"/>
    </row>
    <row r="58" spans="2:17" ht="18" customHeight="1">
      <c r="B58" s="421">
        <f t="shared" si="5"/>
        <v>6</v>
      </c>
      <c r="C58" s="1114" t="str">
        <f>[80]Sheet1!$B$28</f>
        <v>Penangkal Petir (Lightning Arrester)</v>
      </c>
      <c r="G58" s="435"/>
      <c r="H58" s="272" t="s">
        <v>392</v>
      </c>
      <c r="I58" s="453">
        <v>1</v>
      </c>
      <c r="J58" s="432">
        <f>[80]Sheet1!$D$28</f>
        <v>3000000</v>
      </c>
      <c r="K58" s="437">
        <f t="shared" si="4"/>
        <v>3000000</v>
      </c>
      <c r="L58" s="841"/>
    </row>
    <row r="59" spans="2:17">
      <c r="B59" s="421">
        <f t="shared" si="5"/>
        <v>7</v>
      </c>
      <c r="C59" s="434"/>
      <c r="G59" s="435"/>
      <c r="I59" s="453">
        <v>0</v>
      </c>
      <c r="J59" s="432">
        <v>0</v>
      </c>
      <c r="K59" s="437">
        <f t="shared" si="4"/>
        <v>0</v>
      </c>
      <c r="L59" s="842"/>
    </row>
    <row r="60" spans="2:17">
      <c r="B60" s="421">
        <f t="shared" si="5"/>
        <v>8</v>
      </c>
      <c r="C60" s="434"/>
      <c r="G60" s="435"/>
      <c r="I60" s="453">
        <v>0</v>
      </c>
      <c r="J60" s="432">
        <v>0</v>
      </c>
      <c r="K60" s="437">
        <f t="shared" si="4"/>
        <v>0</v>
      </c>
      <c r="L60" s="842"/>
    </row>
    <row r="61" spans="2:17">
      <c r="B61" s="421">
        <f t="shared" si="5"/>
        <v>9</v>
      </c>
      <c r="C61" s="434"/>
      <c r="G61" s="435"/>
      <c r="I61" s="453">
        <v>0</v>
      </c>
      <c r="J61" s="432">
        <v>0</v>
      </c>
      <c r="K61" s="437">
        <f t="shared" si="4"/>
        <v>0</v>
      </c>
      <c r="L61" s="842"/>
    </row>
    <row r="62" spans="2:17">
      <c r="B62" s="421">
        <f t="shared" si="5"/>
        <v>10</v>
      </c>
      <c r="C62" s="434"/>
      <c r="G62" s="435"/>
      <c r="I62" s="453">
        <v>0</v>
      </c>
      <c r="J62" s="432">
        <f>J60</f>
        <v>0</v>
      </c>
      <c r="K62" s="437">
        <f t="shared" si="4"/>
        <v>0</v>
      </c>
      <c r="L62" s="842"/>
    </row>
    <row r="63" spans="2:17">
      <c r="B63" s="421">
        <f t="shared" si="5"/>
        <v>11</v>
      </c>
      <c r="C63" s="434"/>
      <c r="G63" s="435"/>
      <c r="I63" s="453">
        <v>0</v>
      </c>
      <c r="J63" s="432">
        <v>0</v>
      </c>
      <c r="K63" s="437">
        <f t="shared" si="4"/>
        <v>0</v>
      </c>
      <c r="L63" s="842"/>
    </row>
    <row r="64" spans="2:17">
      <c r="B64" s="421"/>
      <c r="C64" s="434"/>
      <c r="G64" s="435"/>
      <c r="I64" s="453"/>
      <c r="J64" s="432"/>
      <c r="K64" s="437"/>
      <c r="L64" s="842"/>
    </row>
    <row r="65" spans="1:13">
      <c r="B65" s="421"/>
      <c r="C65" s="434"/>
      <c r="G65" s="435"/>
      <c r="I65" s="453"/>
      <c r="J65" s="439" t="s">
        <v>368</v>
      </c>
      <c r="K65" s="440">
        <f>SUM(K53:K63)</f>
        <v>27000000</v>
      </c>
      <c r="L65" s="843"/>
      <c r="M65" s="818"/>
    </row>
    <row r="66" spans="1:13">
      <c r="B66" s="421"/>
      <c r="C66" s="434"/>
      <c r="G66" s="435"/>
      <c r="I66" s="453"/>
      <c r="J66" s="432"/>
      <c r="K66" s="440"/>
      <c r="L66" s="841"/>
    </row>
    <row r="67" spans="1:13">
      <c r="B67" s="428" t="s">
        <v>369</v>
      </c>
      <c r="C67" s="429" t="s">
        <v>62</v>
      </c>
      <c r="D67" s="816"/>
      <c r="E67" s="816"/>
      <c r="F67" s="816"/>
      <c r="G67" s="430"/>
      <c r="I67" s="453"/>
      <c r="J67" s="432"/>
      <c r="K67" s="437"/>
      <c r="L67" s="841"/>
    </row>
    <row r="68" spans="1:13">
      <c r="B68" s="438">
        <v>1</v>
      </c>
      <c r="C68" s="434"/>
      <c r="G68" s="435"/>
      <c r="I68" s="453">
        <v>0</v>
      </c>
      <c r="J68" s="432">
        <v>0</v>
      </c>
      <c r="K68" s="437">
        <f>I68*J68</f>
        <v>0</v>
      </c>
      <c r="L68" s="842"/>
      <c r="M68" s="820"/>
    </row>
    <row r="69" spans="1:13">
      <c r="A69" s="844"/>
      <c r="B69" s="421"/>
      <c r="C69" s="434"/>
      <c r="G69" s="435"/>
      <c r="I69" s="453"/>
      <c r="J69" s="432"/>
      <c r="K69" s="437"/>
      <c r="L69" s="842"/>
    </row>
    <row r="70" spans="1:13">
      <c r="B70" s="421"/>
      <c r="C70" s="434"/>
      <c r="G70" s="435"/>
      <c r="I70" s="453"/>
      <c r="J70" s="439" t="s">
        <v>371</v>
      </c>
      <c r="K70" s="440">
        <f>SUM(K68:K68)</f>
        <v>0</v>
      </c>
      <c r="L70" s="843"/>
      <c r="M70" s="818"/>
    </row>
    <row r="71" spans="1:13">
      <c r="B71" s="421"/>
      <c r="C71" s="434"/>
      <c r="G71" s="435"/>
      <c r="I71" s="453"/>
      <c r="J71" s="432"/>
      <c r="K71" s="440"/>
      <c r="L71" s="841"/>
    </row>
    <row r="72" spans="1:13">
      <c r="B72" s="449" t="s">
        <v>372</v>
      </c>
      <c r="C72" s="429" t="s">
        <v>1010</v>
      </c>
      <c r="D72" s="816"/>
      <c r="E72" s="816"/>
      <c r="F72" s="816"/>
      <c r="G72" s="430"/>
      <c r="I72" s="453"/>
      <c r="J72" s="432"/>
      <c r="K72" s="437"/>
      <c r="L72" s="841"/>
    </row>
    <row r="73" spans="1:13">
      <c r="B73" s="421">
        <v>1</v>
      </c>
      <c r="C73" s="434" t="str">
        <f>[80]Sheet1!$B$30</f>
        <v>Kabel Telepon outdoor</v>
      </c>
      <c r="G73" s="435"/>
      <c r="H73" s="272" t="s">
        <v>1006</v>
      </c>
      <c r="I73" s="453">
        <v>1</v>
      </c>
      <c r="J73" s="432">
        <f>[80]Sheet1!$D$30</f>
        <v>4500000</v>
      </c>
      <c r="K73" s="437">
        <f t="shared" ref="K73:K79" si="6">I73*J73</f>
        <v>4500000</v>
      </c>
      <c r="L73" s="842"/>
    </row>
    <row r="74" spans="1:13">
      <c r="B74" s="421">
        <f>B73+1</f>
        <v>2</v>
      </c>
      <c r="C74" s="1114" t="str">
        <f>[80]Sheet1!$B$31</f>
        <v>Kabel Telepon Indoor</v>
      </c>
      <c r="G74" s="435"/>
      <c r="H74" s="272" t="s">
        <v>1006</v>
      </c>
      <c r="I74" s="453">
        <v>1</v>
      </c>
      <c r="J74" s="432">
        <f>[80]Sheet1!$D$31</f>
        <v>4000000</v>
      </c>
      <c r="K74" s="437">
        <f t="shared" si="6"/>
        <v>4000000</v>
      </c>
      <c r="L74" s="842"/>
    </row>
    <row r="75" spans="1:13">
      <c r="B75" s="421">
        <f t="shared" ref="B75:B79" si="7">B74+1</f>
        <v>3</v>
      </c>
      <c r="C75" s="1114" t="str">
        <f>[80]Sheet1!$B$32</f>
        <v>Box Telepon Konektor</v>
      </c>
      <c r="D75" s="820"/>
      <c r="E75" s="820"/>
      <c r="F75" s="820"/>
      <c r="G75" s="452"/>
      <c r="H75" s="272" t="s">
        <v>392</v>
      </c>
      <c r="I75" s="453">
        <v>1</v>
      </c>
      <c r="J75" s="432">
        <f>[80]Sheet1!$D$32</f>
        <v>6500000</v>
      </c>
      <c r="K75" s="437">
        <f t="shared" si="6"/>
        <v>6500000</v>
      </c>
      <c r="L75" s="842"/>
    </row>
    <row r="76" spans="1:13">
      <c r="B76" s="421">
        <f t="shared" si="7"/>
        <v>4</v>
      </c>
      <c r="C76" s="1114" t="str">
        <f>[80]Sheet1!$B$33</f>
        <v>Kabel Protection ( Ugreen Cable Zipper Protection )</v>
      </c>
      <c r="G76" s="435"/>
      <c r="H76" s="272" t="s">
        <v>813</v>
      </c>
      <c r="I76" s="453">
        <v>1</v>
      </c>
      <c r="J76" s="432">
        <f>[80]Sheet1!$D$33</f>
        <v>200000</v>
      </c>
      <c r="K76" s="437">
        <f t="shared" si="6"/>
        <v>200000</v>
      </c>
      <c r="L76" s="842"/>
    </row>
    <row r="77" spans="1:13">
      <c r="B77" s="421">
        <f t="shared" si="7"/>
        <v>5</v>
      </c>
      <c r="C77" s="1114" t="str">
        <f>[80]Sheet1!$B$34</f>
        <v>Paku Klem</v>
      </c>
      <c r="G77" s="435"/>
      <c r="H77" s="272" t="s">
        <v>1015</v>
      </c>
      <c r="I77" s="453">
        <v>1</v>
      </c>
      <c r="J77" s="432">
        <f>[80]Sheet1!$D$34</f>
        <v>500000</v>
      </c>
      <c r="K77" s="437">
        <f t="shared" si="6"/>
        <v>500000</v>
      </c>
      <c r="L77" s="842"/>
    </row>
    <row r="78" spans="1:13">
      <c r="B78" s="421">
        <f t="shared" si="7"/>
        <v>6</v>
      </c>
      <c r="C78" s="1114" t="str">
        <f>[80]Sheet1!$B$35</f>
        <v>Peralatan kerja pabx</v>
      </c>
      <c r="G78" s="435"/>
      <c r="H78" s="272" t="s">
        <v>392</v>
      </c>
      <c r="I78" s="453">
        <v>1</v>
      </c>
      <c r="J78" s="432">
        <f>[80]Sheet1!$D$35</f>
        <v>2000000</v>
      </c>
      <c r="K78" s="437">
        <f t="shared" si="6"/>
        <v>2000000</v>
      </c>
      <c r="L78" s="842"/>
    </row>
    <row r="79" spans="1:13">
      <c r="B79" s="421">
        <f t="shared" si="7"/>
        <v>7</v>
      </c>
      <c r="C79" s="434"/>
      <c r="G79" s="435"/>
      <c r="I79" s="453">
        <v>0</v>
      </c>
      <c r="J79" s="432">
        <v>0</v>
      </c>
      <c r="K79" s="437">
        <f t="shared" si="6"/>
        <v>0</v>
      </c>
      <c r="L79" s="842"/>
    </row>
    <row r="80" spans="1:13">
      <c r="B80" s="421"/>
      <c r="C80" s="434"/>
      <c r="G80" s="435"/>
      <c r="I80" s="453"/>
      <c r="J80" s="432"/>
      <c r="K80" s="437"/>
      <c r="L80" s="842"/>
    </row>
    <row r="81" spans="1:13">
      <c r="B81" s="421"/>
      <c r="C81" s="434"/>
      <c r="G81" s="435"/>
      <c r="I81" s="453"/>
      <c r="J81" s="439" t="s">
        <v>377</v>
      </c>
      <c r="K81" s="440">
        <f>SUM(K73:K80)</f>
        <v>17700000</v>
      </c>
      <c r="L81" s="843"/>
      <c r="M81" s="818"/>
    </row>
    <row r="82" spans="1:13">
      <c r="A82" s="820"/>
      <c r="B82" s="428" t="s">
        <v>378</v>
      </c>
      <c r="C82" s="429" t="s">
        <v>62</v>
      </c>
      <c r="D82" s="816"/>
      <c r="E82" s="816"/>
      <c r="F82" s="816"/>
      <c r="G82" s="430"/>
      <c r="I82" s="453"/>
      <c r="J82" s="432"/>
      <c r="K82" s="437"/>
      <c r="L82" s="841"/>
      <c r="M82" s="845"/>
    </row>
    <row r="83" spans="1:13">
      <c r="B83" s="421"/>
      <c r="C83" s="434"/>
      <c r="G83" s="435"/>
      <c r="I83" s="453"/>
      <c r="J83" s="432"/>
      <c r="K83" s="437"/>
      <c r="L83" s="842"/>
      <c r="M83" s="846"/>
    </row>
    <row r="84" spans="1:13">
      <c r="B84" s="421">
        <f t="shared" ref="B84:B103" si="8">B83+1</f>
        <v>1</v>
      </c>
      <c r="C84" s="434"/>
      <c r="G84" s="435"/>
      <c r="I84" s="453">
        <v>0</v>
      </c>
      <c r="J84" s="432">
        <v>0</v>
      </c>
      <c r="K84" s="437">
        <f t="shared" ref="K84:K103" si="9">I84*J84</f>
        <v>0</v>
      </c>
      <c r="L84" s="842"/>
      <c r="M84" s="846"/>
    </row>
    <row r="85" spans="1:13">
      <c r="B85" s="421">
        <f t="shared" si="8"/>
        <v>2</v>
      </c>
      <c r="C85" s="434"/>
      <c r="G85" s="435"/>
      <c r="I85" s="453">
        <v>0</v>
      </c>
      <c r="J85" s="432">
        <v>0</v>
      </c>
      <c r="K85" s="437">
        <f t="shared" si="9"/>
        <v>0</v>
      </c>
      <c r="L85" s="842"/>
      <c r="M85" s="846"/>
    </row>
    <row r="86" spans="1:13">
      <c r="B86" s="421">
        <f t="shared" si="8"/>
        <v>3</v>
      </c>
      <c r="C86" s="434"/>
      <c r="G86" s="435"/>
      <c r="I86" s="453">
        <v>0</v>
      </c>
      <c r="J86" s="432">
        <v>0</v>
      </c>
      <c r="K86" s="437">
        <f t="shared" si="9"/>
        <v>0</v>
      </c>
      <c r="L86" s="842"/>
      <c r="M86" s="846"/>
    </row>
    <row r="87" spans="1:13">
      <c r="B87" s="421">
        <f t="shared" si="8"/>
        <v>4</v>
      </c>
      <c r="C87" s="434"/>
      <c r="G87" s="435"/>
      <c r="I87" s="453">
        <v>0</v>
      </c>
      <c r="J87" s="432">
        <v>0</v>
      </c>
      <c r="K87" s="437">
        <f t="shared" si="9"/>
        <v>0</v>
      </c>
      <c r="L87" s="842"/>
      <c r="M87" s="846"/>
    </row>
    <row r="88" spans="1:13">
      <c r="B88" s="421">
        <f t="shared" si="8"/>
        <v>5</v>
      </c>
      <c r="C88" s="434"/>
      <c r="G88" s="435"/>
      <c r="I88" s="453">
        <v>0</v>
      </c>
      <c r="J88" s="432">
        <v>0</v>
      </c>
      <c r="K88" s="437">
        <f t="shared" si="9"/>
        <v>0</v>
      </c>
      <c r="L88" s="842"/>
      <c r="M88" s="846"/>
    </row>
    <row r="89" spans="1:13">
      <c r="B89" s="421">
        <f t="shared" si="8"/>
        <v>6</v>
      </c>
      <c r="C89" s="434"/>
      <c r="G89" s="435"/>
      <c r="I89" s="453">
        <v>0</v>
      </c>
      <c r="J89" s="432">
        <v>0</v>
      </c>
      <c r="K89" s="437">
        <f t="shared" si="9"/>
        <v>0</v>
      </c>
      <c r="L89" s="842"/>
      <c r="M89" s="846"/>
    </row>
    <row r="90" spans="1:13">
      <c r="B90" s="421">
        <f t="shared" si="8"/>
        <v>7</v>
      </c>
      <c r="C90" s="434"/>
      <c r="G90" s="435"/>
      <c r="I90" s="583">
        <v>0</v>
      </c>
      <c r="J90" s="432">
        <v>0</v>
      </c>
      <c r="K90" s="437">
        <f t="shared" si="9"/>
        <v>0</v>
      </c>
      <c r="L90" s="842"/>
      <c r="M90" s="846"/>
    </row>
    <row r="91" spans="1:13">
      <c r="B91" s="421">
        <f t="shared" si="8"/>
        <v>8</v>
      </c>
      <c r="C91" s="434"/>
      <c r="G91" s="435"/>
      <c r="I91" s="583">
        <v>0</v>
      </c>
      <c r="J91" s="432">
        <v>0</v>
      </c>
      <c r="K91" s="437">
        <f t="shared" si="9"/>
        <v>0</v>
      </c>
      <c r="L91" s="842"/>
      <c r="M91" s="846"/>
    </row>
    <row r="92" spans="1:13">
      <c r="B92" s="421">
        <f t="shared" si="8"/>
        <v>9</v>
      </c>
      <c r="C92" s="434"/>
      <c r="G92" s="435"/>
      <c r="I92" s="453">
        <v>0</v>
      </c>
      <c r="J92" s="432">
        <v>0</v>
      </c>
      <c r="K92" s="437">
        <f t="shared" si="9"/>
        <v>0</v>
      </c>
      <c r="L92" s="842"/>
      <c r="M92" s="846"/>
    </row>
    <row r="93" spans="1:13">
      <c r="B93" s="421">
        <f t="shared" si="8"/>
        <v>10</v>
      </c>
      <c r="C93" s="456"/>
      <c r="D93" s="457"/>
      <c r="E93" s="457"/>
      <c r="F93" s="457"/>
      <c r="G93" s="458"/>
      <c r="I93" s="453">
        <v>0</v>
      </c>
      <c r="J93" s="432">
        <v>0</v>
      </c>
      <c r="K93" s="437">
        <f t="shared" si="9"/>
        <v>0</v>
      </c>
      <c r="L93" s="842"/>
      <c r="M93" s="846"/>
    </row>
    <row r="94" spans="1:13">
      <c r="B94" s="421">
        <f t="shared" si="8"/>
        <v>11</v>
      </c>
      <c r="C94" s="434"/>
      <c r="G94" s="435"/>
      <c r="I94" s="453">
        <v>0</v>
      </c>
      <c r="J94" s="432">
        <v>0</v>
      </c>
      <c r="K94" s="437">
        <f t="shared" si="9"/>
        <v>0</v>
      </c>
      <c r="L94" s="842"/>
      <c r="M94" s="846"/>
    </row>
    <row r="95" spans="1:13">
      <c r="B95" s="421">
        <f t="shared" si="8"/>
        <v>12</v>
      </c>
      <c r="C95" s="434"/>
      <c r="G95" s="435"/>
      <c r="I95" s="453">
        <v>0</v>
      </c>
      <c r="J95" s="432">
        <v>0</v>
      </c>
      <c r="K95" s="437">
        <f t="shared" si="9"/>
        <v>0</v>
      </c>
      <c r="L95" s="842"/>
      <c r="M95" s="846"/>
    </row>
    <row r="96" spans="1:13">
      <c r="B96" s="421">
        <f t="shared" si="8"/>
        <v>13</v>
      </c>
      <c r="C96" s="434"/>
      <c r="G96" s="435"/>
      <c r="I96" s="453">
        <v>0</v>
      </c>
      <c r="J96" s="432">
        <v>0</v>
      </c>
      <c r="K96" s="437">
        <f t="shared" si="9"/>
        <v>0</v>
      </c>
      <c r="L96" s="842"/>
      <c r="M96" s="846"/>
    </row>
    <row r="97" spans="1:18">
      <c r="B97" s="421">
        <f t="shared" si="8"/>
        <v>14</v>
      </c>
      <c r="C97" s="434"/>
      <c r="G97" s="435"/>
      <c r="I97" s="453">
        <v>0</v>
      </c>
      <c r="J97" s="432">
        <v>0</v>
      </c>
      <c r="K97" s="437">
        <f t="shared" si="9"/>
        <v>0</v>
      </c>
      <c r="L97" s="842"/>
      <c r="M97" s="846"/>
    </row>
    <row r="98" spans="1:18">
      <c r="B98" s="421">
        <f t="shared" si="8"/>
        <v>15</v>
      </c>
      <c r="C98" s="434"/>
      <c r="G98" s="435"/>
      <c r="I98" s="453">
        <v>0</v>
      </c>
      <c r="J98" s="432">
        <v>0</v>
      </c>
      <c r="K98" s="437">
        <f t="shared" si="9"/>
        <v>0</v>
      </c>
      <c r="L98" s="842"/>
      <c r="M98" s="846"/>
    </row>
    <row r="99" spans="1:18">
      <c r="B99" s="421">
        <f t="shared" si="8"/>
        <v>16</v>
      </c>
      <c r="C99" s="434"/>
      <c r="G99" s="435"/>
      <c r="I99" s="453">
        <v>0</v>
      </c>
      <c r="J99" s="432">
        <v>0</v>
      </c>
      <c r="K99" s="437">
        <f t="shared" si="9"/>
        <v>0</v>
      </c>
      <c r="L99" s="842"/>
      <c r="M99" s="846"/>
    </row>
    <row r="100" spans="1:18">
      <c r="B100" s="421">
        <f t="shared" si="8"/>
        <v>17</v>
      </c>
      <c r="C100" s="434"/>
      <c r="G100" s="435"/>
      <c r="I100" s="453">
        <v>0</v>
      </c>
      <c r="J100" s="432">
        <v>0</v>
      </c>
      <c r="K100" s="437">
        <f t="shared" si="9"/>
        <v>0</v>
      </c>
      <c r="L100" s="842"/>
      <c r="M100" s="846"/>
    </row>
    <row r="101" spans="1:18">
      <c r="B101" s="421">
        <f t="shared" si="8"/>
        <v>18</v>
      </c>
      <c r="C101" s="434"/>
      <c r="G101" s="435"/>
      <c r="I101" s="453">
        <v>0</v>
      </c>
      <c r="J101" s="432">
        <v>0</v>
      </c>
      <c r="K101" s="437">
        <f t="shared" si="9"/>
        <v>0</v>
      </c>
      <c r="L101" s="842"/>
      <c r="M101" s="846"/>
    </row>
    <row r="102" spans="1:18">
      <c r="A102" s="820"/>
      <c r="B102" s="421">
        <f t="shared" si="8"/>
        <v>19</v>
      </c>
      <c r="C102" s="434"/>
      <c r="G102" s="435"/>
      <c r="I102" s="453">
        <v>0</v>
      </c>
      <c r="J102" s="432">
        <v>0</v>
      </c>
      <c r="K102" s="437">
        <f t="shared" si="9"/>
        <v>0</v>
      </c>
      <c r="L102" s="842"/>
      <c r="M102" s="846"/>
    </row>
    <row r="103" spans="1:18">
      <c r="A103" s="820"/>
      <c r="B103" s="421">
        <f t="shared" si="8"/>
        <v>20</v>
      </c>
      <c r="C103" s="434"/>
      <c r="G103" s="435"/>
      <c r="I103" s="453">
        <v>0</v>
      </c>
      <c r="J103" s="432">
        <v>0</v>
      </c>
      <c r="K103" s="437">
        <f t="shared" si="9"/>
        <v>0</v>
      </c>
      <c r="L103" s="842"/>
      <c r="M103" s="846"/>
    </row>
    <row r="104" spans="1:18">
      <c r="B104" s="421"/>
      <c r="C104" s="434"/>
      <c r="G104" s="435"/>
      <c r="I104" s="453"/>
      <c r="J104" s="432"/>
      <c r="K104" s="437"/>
      <c r="L104" s="842"/>
      <c r="M104" s="846"/>
    </row>
    <row r="105" spans="1:18">
      <c r="B105" s="421"/>
      <c r="C105" s="434"/>
      <c r="G105" s="435"/>
      <c r="I105" s="453"/>
      <c r="J105" s="439" t="s">
        <v>383</v>
      </c>
      <c r="K105" s="440">
        <f>SUM(K83:K103)</f>
        <v>0</v>
      </c>
      <c r="L105" s="843"/>
      <c r="M105" s="847"/>
    </row>
    <row r="106" spans="1:18">
      <c r="B106" s="428" t="s">
        <v>384</v>
      </c>
      <c r="C106" s="429" t="s">
        <v>62</v>
      </c>
      <c r="D106" s="816"/>
      <c r="E106" s="816"/>
      <c r="F106" s="816"/>
      <c r="G106" s="430"/>
      <c r="I106" s="453"/>
      <c r="J106" s="432"/>
      <c r="K106" s="437"/>
      <c r="L106" s="841"/>
    </row>
    <row r="107" spans="1:18">
      <c r="B107" s="421">
        <v>1</v>
      </c>
      <c r="C107" s="434"/>
      <c r="G107" s="435"/>
      <c r="I107" s="453">
        <f>I48</f>
        <v>0</v>
      </c>
      <c r="J107" s="432">
        <v>0</v>
      </c>
      <c r="K107" s="437">
        <f>I107*J107</f>
        <v>0</v>
      </c>
      <c r="L107" s="842"/>
    </row>
    <row r="108" spans="1:18">
      <c r="B108" s="421">
        <v>2</v>
      </c>
      <c r="C108" s="434"/>
      <c r="G108" s="435"/>
      <c r="I108" s="453">
        <f>I68+I69</f>
        <v>0</v>
      </c>
      <c r="J108" s="432">
        <v>0</v>
      </c>
      <c r="K108" s="437">
        <f>I108*J108</f>
        <v>0</v>
      </c>
      <c r="L108" s="842"/>
    </row>
    <row r="109" spans="1:18">
      <c r="B109" s="421"/>
      <c r="C109" s="434"/>
      <c r="G109" s="435"/>
      <c r="I109" s="453"/>
      <c r="J109" s="432"/>
      <c r="K109" s="437"/>
      <c r="L109" s="842"/>
    </row>
    <row r="110" spans="1:18">
      <c r="B110" s="421"/>
      <c r="C110" s="434"/>
      <c r="G110" s="435"/>
      <c r="I110" s="453"/>
      <c r="J110" s="439" t="s">
        <v>388</v>
      </c>
      <c r="K110" s="440">
        <f>SUM(K107:K109)</f>
        <v>0</v>
      </c>
      <c r="L110" s="843"/>
      <c r="M110" s="817"/>
      <c r="N110" s="818"/>
      <c r="O110" s="818"/>
      <c r="R110" s="818">
        <f>K110</f>
        <v>0</v>
      </c>
    </row>
    <row r="111" spans="1:18">
      <c r="A111" s="820"/>
      <c r="B111" s="428" t="s">
        <v>389</v>
      </c>
      <c r="C111" s="429" t="s">
        <v>62</v>
      </c>
      <c r="D111" s="816"/>
      <c r="E111" s="816"/>
      <c r="F111" s="816"/>
      <c r="G111" s="430"/>
      <c r="I111" s="453"/>
      <c r="J111" s="432"/>
      <c r="K111" s="437"/>
      <c r="L111" s="841"/>
    </row>
    <row r="112" spans="1:18">
      <c r="B112" s="421"/>
      <c r="C112" s="434" t="s">
        <v>998</v>
      </c>
      <c r="G112" s="435"/>
      <c r="I112" s="453"/>
      <c r="J112" s="432"/>
      <c r="K112" s="437"/>
      <c r="L112" s="842"/>
    </row>
    <row r="113" spans="2:13">
      <c r="B113" s="421"/>
      <c r="C113" s="434"/>
      <c r="G113" s="435"/>
      <c r="I113" s="453"/>
      <c r="J113" s="432"/>
      <c r="K113" s="437"/>
      <c r="L113" s="842"/>
    </row>
    <row r="114" spans="2:13">
      <c r="B114" s="421"/>
      <c r="C114" s="434"/>
      <c r="G114" s="435"/>
      <c r="I114" s="453"/>
      <c r="J114" s="432"/>
      <c r="K114" s="437"/>
      <c r="L114" s="842"/>
    </row>
    <row r="115" spans="2:13">
      <c r="B115" s="438"/>
      <c r="C115" s="434"/>
      <c r="G115" s="435"/>
      <c r="I115" s="453"/>
      <c r="J115" s="432"/>
      <c r="K115" s="437"/>
      <c r="L115" s="842"/>
    </row>
    <row r="116" spans="2:13">
      <c r="B116" s="438"/>
      <c r="C116" s="434"/>
      <c r="G116" s="435"/>
      <c r="I116" s="453"/>
      <c r="J116" s="432"/>
      <c r="K116" s="437"/>
      <c r="L116" s="842"/>
    </row>
    <row r="117" spans="2:13">
      <c r="B117" s="421"/>
      <c r="C117" s="434"/>
      <c r="G117" s="435"/>
      <c r="I117" s="453"/>
      <c r="J117" s="439" t="s">
        <v>394</v>
      </c>
      <c r="K117" s="440">
        <f>SUM(K112:K115)</f>
        <v>0</v>
      </c>
      <c r="L117" s="843"/>
      <c r="M117" s="818"/>
    </row>
    <row r="118" spans="2:13">
      <c r="B118" s="428" t="s">
        <v>395</v>
      </c>
      <c r="C118" s="429" t="s">
        <v>62</v>
      </c>
      <c r="D118" s="816"/>
      <c r="E118" s="816"/>
      <c r="F118" s="816"/>
      <c r="G118" s="430"/>
      <c r="I118" s="453"/>
      <c r="J118" s="432"/>
      <c r="K118" s="437"/>
      <c r="L118" s="841"/>
    </row>
    <row r="119" spans="2:13">
      <c r="B119" s="421"/>
      <c r="C119" s="434" t="s">
        <v>980</v>
      </c>
      <c r="D119" s="558"/>
      <c r="E119" s="558"/>
      <c r="F119" s="558"/>
      <c r="G119" s="575"/>
      <c r="H119" s="272"/>
      <c r="I119" s="453"/>
      <c r="J119" s="572"/>
      <c r="K119" s="455"/>
      <c r="L119" s="842"/>
    </row>
    <row r="120" spans="2:13">
      <c r="B120" s="421"/>
      <c r="C120" s="574"/>
      <c r="D120" s="558"/>
      <c r="E120" s="558"/>
      <c r="F120" s="558"/>
      <c r="G120" s="575"/>
      <c r="H120" s="272"/>
      <c r="I120" s="453"/>
      <c r="J120" s="572"/>
      <c r="K120" s="455"/>
      <c r="L120" s="842"/>
    </row>
    <row r="121" spans="2:13">
      <c r="B121" s="421"/>
      <c r="C121" s="574"/>
      <c r="D121" s="558"/>
      <c r="E121" s="558"/>
      <c r="F121" s="558"/>
      <c r="G121" s="575"/>
      <c r="H121" s="272"/>
      <c r="I121" s="453"/>
      <c r="J121" s="572"/>
      <c r="K121" s="455"/>
      <c r="L121" s="842"/>
    </row>
    <row r="122" spans="2:13">
      <c r="B122" s="421"/>
      <c r="C122" s="574"/>
      <c r="D122" s="558"/>
      <c r="E122" s="558"/>
      <c r="F122" s="558"/>
      <c r="G122" s="575"/>
      <c r="H122" s="272"/>
      <c r="I122" s="453"/>
      <c r="J122" s="572"/>
      <c r="K122" s="455"/>
      <c r="L122" s="842"/>
    </row>
    <row r="123" spans="2:13">
      <c r="B123" s="421"/>
      <c r="C123" s="574"/>
      <c r="D123" s="558"/>
      <c r="E123" s="558"/>
      <c r="F123" s="558"/>
      <c r="G123" s="575"/>
      <c r="H123" s="272"/>
      <c r="I123" s="453"/>
      <c r="J123" s="572"/>
      <c r="K123" s="455"/>
      <c r="L123" s="841"/>
    </row>
    <row r="124" spans="2:13">
      <c r="B124" s="421"/>
      <c r="C124" s="574"/>
      <c r="D124" s="558"/>
      <c r="E124" s="558"/>
      <c r="F124" s="558"/>
      <c r="G124" s="575"/>
      <c r="H124" s="272"/>
      <c r="I124" s="453"/>
      <c r="J124" s="572"/>
      <c r="K124" s="455"/>
      <c r="L124" s="841"/>
    </row>
    <row r="125" spans="2:13">
      <c r="B125" s="421"/>
      <c r="C125" s="434"/>
      <c r="G125" s="435"/>
      <c r="I125" s="453"/>
      <c r="J125" s="432"/>
      <c r="K125" s="437"/>
      <c r="L125" s="841"/>
    </row>
    <row r="126" spans="2:13">
      <c r="B126" s="421"/>
      <c r="C126" s="434" t="s">
        <v>652</v>
      </c>
      <c r="G126" s="435"/>
      <c r="I126" s="571"/>
      <c r="J126" s="439" t="s">
        <v>500</v>
      </c>
      <c r="K126" s="440">
        <f>SUM(K119:K124)</f>
        <v>0</v>
      </c>
      <c r="L126" s="843"/>
      <c r="M126" s="818"/>
    </row>
    <row r="127" spans="2:13">
      <c r="B127" s="428" t="s">
        <v>404</v>
      </c>
      <c r="C127" s="429" t="s">
        <v>62</v>
      </c>
      <c r="D127" s="816"/>
      <c r="E127" s="816"/>
      <c r="F127" s="816"/>
      <c r="G127" s="430"/>
      <c r="I127" s="453"/>
      <c r="J127" s="432"/>
      <c r="K127" s="437"/>
      <c r="L127" s="841"/>
    </row>
    <row r="128" spans="2:13">
      <c r="B128" s="421">
        <v>1</v>
      </c>
      <c r="C128" s="434"/>
      <c r="D128" s="558"/>
      <c r="E128" s="558"/>
      <c r="F128" s="558"/>
      <c r="G128" s="575"/>
      <c r="H128" s="559"/>
      <c r="I128" s="453">
        <v>0</v>
      </c>
      <c r="J128" s="432">
        <v>0</v>
      </c>
      <c r="K128" s="437">
        <f>I128*J128</f>
        <v>0</v>
      </c>
      <c r="L128" s="842"/>
    </row>
    <row r="129" spans="2:13">
      <c r="B129" s="421">
        <f>B128+1</f>
        <v>2</v>
      </c>
      <c r="C129" s="434"/>
      <c r="D129" s="558"/>
      <c r="E129" s="558"/>
      <c r="F129" s="558"/>
      <c r="G129" s="575"/>
      <c r="H129" s="559"/>
      <c r="I129" s="453">
        <v>0</v>
      </c>
      <c r="J129" s="432">
        <v>0</v>
      </c>
      <c r="K129" s="437">
        <f>I129*J129</f>
        <v>0</v>
      </c>
      <c r="L129" s="842"/>
    </row>
    <row r="130" spans="2:13">
      <c r="B130" s="421">
        <f>B129+1</f>
        <v>3</v>
      </c>
      <c r="C130" s="434"/>
      <c r="D130" s="558"/>
      <c r="E130" s="558"/>
      <c r="F130" s="558"/>
      <c r="G130" s="575"/>
      <c r="H130" s="559"/>
      <c r="I130" s="453">
        <v>0</v>
      </c>
      <c r="J130" s="432">
        <v>0</v>
      </c>
      <c r="K130" s="437">
        <f>I130*J130</f>
        <v>0</v>
      </c>
      <c r="L130" s="842"/>
    </row>
    <row r="131" spans="2:13">
      <c r="B131" s="421">
        <f>B130+1</f>
        <v>4</v>
      </c>
      <c r="C131" s="434"/>
      <c r="D131" s="558"/>
      <c r="E131" s="558"/>
      <c r="F131" s="558"/>
      <c r="G131" s="575"/>
      <c r="H131" s="559"/>
      <c r="I131" s="453">
        <v>0</v>
      </c>
      <c r="J131" s="432">
        <v>0</v>
      </c>
      <c r="K131" s="437">
        <f>I131*J131</f>
        <v>0</v>
      </c>
      <c r="L131" s="842"/>
    </row>
    <row r="132" spans="2:13">
      <c r="B132" s="421">
        <v>5</v>
      </c>
      <c r="C132" s="434"/>
      <c r="G132" s="435"/>
      <c r="I132" s="453">
        <v>0</v>
      </c>
      <c r="J132" s="432">
        <v>0</v>
      </c>
      <c r="K132" s="437">
        <f>I132*J132</f>
        <v>0</v>
      </c>
      <c r="L132" s="842"/>
    </row>
    <row r="133" spans="2:13">
      <c r="B133" s="421"/>
      <c r="C133" s="434"/>
      <c r="G133" s="435"/>
      <c r="I133" s="453"/>
      <c r="J133" s="432"/>
      <c r="K133" s="437"/>
      <c r="L133" s="842"/>
    </row>
    <row r="134" spans="2:13">
      <c r="B134" s="421"/>
      <c r="C134" s="434"/>
      <c r="G134" s="435"/>
      <c r="I134" s="453"/>
      <c r="J134" s="439" t="s">
        <v>501</v>
      </c>
      <c r="K134" s="440">
        <f>SUM(K128:K132)</f>
        <v>0</v>
      </c>
      <c r="L134" s="843"/>
      <c r="M134" s="818"/>
    </row>
    <row r="135" spans="2:13" ht="16.5" thickBot="1">
      <c r="B135" s="459"/>
      <c r="C135" s="460"/>
      <c r="D135" s="461"/>
      <c r="E135" s="461"/>
      <c r="F135" s="461"/>
      <c r="G135" s="462"/>
      <c r="H135" s="463"/>
      <c r="I135" s="596"/>
      <c r="J135" s="465"/>
      <c r="K135" s="466"/>
      <c r="L135" s="843"/>
      <c r="M135" s="818"/>
    </row>
    <row r="136" spans="2:13">
      <c r="B136" s="421"/>
      <c r="C136" s="434"/>
      <c r="G136" s="435"/>
      <c r="I136" s="453"/>
      <c r="J136" s="432"/>
      <c r="K136" s="440"/>
      <c r="L136" s="843"/>
      <c r="M136" s="818"/>
    </row>
    <row r="137" spans="2:13">
      <c r="B137" s="421"/>
      <c r="C137" s="434"/>
      <c r="G137" s="435"/>
      <c r="I137" s="453"/>
      <c r="J137" s="439" t="s">
        <v>410</v>
      </c>
      <c r="K137" s="467">
        <f>SUM(K13:K134)/2</f>
        <v>150400000</v>
      </c>
      <c r="L137" s="848"/>
      <c r="M137" s="818"/>
    </row>
    <row r="138" spans="2:13" ht="16.5" thickBot="1">
      <c r="B138" s="468"/>
      <c r="C138" s="469"/>
      <c r="D138" s="470"/>
      <c r="E138" s="470"/>
      <c r="F138" s="470"/>
      <c r="G138" s="471"/>
      <c r="H138" s="472"/>
      <c r="I138" s="605"/>
      <c r="J138" s="474"/>
      <c r="K138" s="475"/>
      <c r="L138" s="841"/>
    </row>
    <row r="139" spans="2:13" ht="16.5" thickTop="1"/>
  </sheetData>
  <mergeCells count="2">
    <mergeCell ref="I7:K7"/>
    <mergeCell ref="L9:L10"/>
  </mergeCells>
  <pageMargins left="0.7" right="0.7" top="0.75" bottom="0.75" header="0.3" footer="0.3"/>
  <pageSetup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263D09-9B7C-4887-8537-F7926FAD1284}">
  <sheetPr>
    <tabColor rgb="FFFFFF00"/>
    <pageSetUpPr fitToPage="1"/>
  </sheetPr>
  <dimension ref="A2:L35"/>
  <sheetViews>
    <sheetView topLeftCell="A9" workbookViewId="0">
      <selection activeCell="C27" sqref="C27"/>
    </sheetView>
  </sheetViews>
  <sheetFormatPr defaultColWidth="9.140625" defaultRowHeight="15.75"/>
  <cols>
    <col min="1" max="1" width="2.42578125" style="39" customWidth="1"/>
    <col min="2" max="2" width="6" style="39" customWidth="1"/>
    <col min="3" max="3" width="17.5703125" style="39" customWidth="1"/>
    <col min="4" max="4" width="23.7109375" style="39" customWidth="1"/>
    <col min="5" max="5" width="4.28515625" style="39" customWidth="1"/>
    <col min="6" max="6" width="14.85546875" style="39" customWidth="1"/>
    <col min="7" max="7" width="7.7109375" style="39" customWidth="1"/>
    <col min="8" max="8" width="18.28515625" style="39" bestFit="1" customWidth="1"/>
    <col min="9" max="9" width="11.28515625" style="39" bestFit="1" customWidth="1"/>
    <col min="10" max="11" width="9.28515625" style="39" bestFit="1" customWidth="1"/>
    <col min="12" max="12" width="14.140625" style="39" bestFit="1" customWidth="1"/>
    <col min="13" max="16384" width="9.140625" style="39"/>
  </cols>
  <sheetData>
    <row r="2" spans="1:12">
      <c r="B2" s="40" t="s">
        <v>40</v>
      </c>
      <c r="C2" s="41"/>
    </row>
    <row r="3" spans="1:12">
      <c r="B3" s="872" t="s">
        <v>0</v>
      </c>
      <c r="C3" s="41"/>
      <c r="E3" s="43"/>
      <c r="F3" s="44"/>
    </row>
    <row r="4" spans="1:12">
      <c r="B4" s="872" t="s">
        <v>860</v>
      </c>
      <c r="C4" s="41"/>
      <c r="E4" s="43"/>
      <c r="F4" s="44"/>
    </row>
    <row r="5" spans="1:12">
      <c r="B5" s="873" t="s">
        <v>1</v>
      </c>
      <c r="C5" s="41"/>
      <c r="E5" s="43"/>
      <c r="F5" s="44"/>
    </row>
    <row r="6" spans="1:12">
      <c r="B6" s="872" t="s">
        <v>2</v>
      </c>
      <c r="C6" s="41"/>
      <c r="E6" s="43"/>
      <c r="F6" s="44"/>
    </row>
    <row r="7" spans="1:12">
      <c r="B7" s="873" t="s">
        <v>3</v>
      </c>
      <c r="C7" s="41"/>
      <c r="E7" s="43"/>
      <c r="F7" s="44"/>
    </row>
    <row r="8" spans="1:12" ht="16.5" thickBot="1">
      <c r="F8" s="1136" t="s">
        <v>613</v>
      </c>
      <c r="G8" s="1136"/>
      <c r="H8" s="1136"/>
    </row>
    <row r="9" spans="1:12" ht="16.5" thickTop="1">
      <c r="B9" s="46"/>
      <c r="C9" s="47"/>
      <c r="D9" s="47"/>
      <c r="E9" s="47"/>
      <c r="F9" s="47"/>
      <c r="G9" s="47"/>
      <c r="H9" s="48" t="s">
        <v>5</v>
      </c>
    </row>
    <row r="10" spans="1:12">
      <c r="B10" s="49" t="s">
        <v>6</v>
      </c>
      <c r="C10" s="50" t="s">
        <v>7</v>
      </c>
      <c r="D10" s="50"/>
      <c r="E10" s="50"/>
      <c r="F10" s="50"/>
      <c r="G10" s="50"/>
      <c r="H10" s="51" t="s">
        <v>4</v>
      </c>
    </row>
    <row r="11" spans="1:12" ht="16.5" thickBot="1">
      <c r="B11" s="52"/>
      <c r="C11" s="53"/>
      <c r="D11" s="53"/>
      <c r="E11" s="53"/>
      <c r="F11" s="53"/>
      <c r="G11" s="53"/>
      <c r="H11" s="54" t="s">
        <v>10</v>
      </c>
    </row>
    <row r="12" spans="1:12" ht="16.5" thickTop="1">
      <c r="B12" s="55"/>
      <c r="C12" s="56"/>
      <c r="D12" s="56"/>
      <c r="E12" s="56"/>
      <c r="F12" s="56"/>
      <c r="G12" s="56"/>
      <c r="H12" s="57"/>
    </row>
    <row r="13" spans="1:12">
      <c r="B13" s="49"/>
      <c r="C13" s="58" t="str">
        <f>B4</f>
        <v>Bangunan Resto 1000 m2 Blok A</v>
      </c>
      <c r="D13" s="58"/>
      <c r="E13" s="58"/>
      <c r="F13" s="58"/>
      <c r="G13" s="58"/>
      <c r="H13" s="59"/>
    </row>
    <row r="14" spans="1:12" s="875" customFormat="1">
      <c r="A14" s="39"/>
      <c r="B14" s="55" t="s">
        <v>11</v>
      </c>
      <c r="C14" s="56" t="str">
        <f>BQResto1000!C12</f>
        <v>PEKERJAAN PERSIAPAN &amp; PENYELESAIAN</v>
      </c>
      <c r="D14" s="58"/>
      <c r="E14" s="58"/>
      <c r="F14" s="58"/>
      <c r="G14" s="58"/>
      <c r="H14" s="874">
        <f>BQResto1000!K19</f>
        <v>5000000</v>
      </c>
      <c r="I14" s="39"/>
      <c r="J14" s="39"/>
      <c r="K14" s="39"/>
      <c r="L14" s="39"/>
    </row>
    <row r="15" spans="1:12" s="875" customFormat="1">
      <c r="A15" s="39"/>
      <c r="B15" s="55" t="s">
        <v>12</v>
      </c>
      <c r="C15" s="56" t="str">
        <f>BQResto1000!C20</f>
        <v>PEKERJAAN LAN</v>
      </c>
      <c r="D15" s="58"/>
      <c r="E15" s="58"/>
      <c r="F15" s="58"/>
      <c r="G15" s="58"/>
      <c r="H15" s="874">
        <f>BQResto1000!K31</f>
        <v>15500000</v>
      </c>
      <c r="I15" s="39"/>
      <c r="J15" s="39"/>
      <c r="K15" s="39"/>
      <c r="L15" s="39"/>
    </row>
    <row r="16" spans="1:12" s="875" customFormat="1">
      <c r="A16" s="39"/>
      <c r="B16" s="55" t="s">
        <v>16</v>
      </c>
      <c r="C16" s="56" t="str">
        <f>BQResto1000!C32</f>
        <v>PEKERJAAN CCTV</v>
      </c>
      <c r="D16" s="58"/>
      <c r="E16" s="58"/>
      <c r="F16" s="58"/>
      <c r="G16" s="58"/>
      <c r="H16" s="874">
        <f>BQResto1000!K57</f>
        <v>20400000</v>
      </c>
      <c r="I16" s="39"/>
      <c r="J16" s="39"/>
      <c r="K16" s="39"/>
      <c r="L16" s="39"/>
    </row>
    <row r="17" spans="1:12" s="875" customFormat="1">
      <c r="A17" s="39"/>
      <c r="B17" s="55" t="s">
        <v>19</v>
      </c>
      <c r="C17" s="56" t="str">
        <f>BQResto1000!C58</f>
        <v>-</v>
      </c>
      <c r="D17" s="58"/>
      <c r="E17" s="58"/>
      <c r="F17" s="58"/>
      <c r="G17" s="58"/>
      <c r="H17" s="874">
        <f>BQResto1000!K61</f>
        <v>0</v>
      </c>
      <c r="I17" s="39"/>
      <c r="J17" s="39"/>
      <c r="K17" s="39"/>
      <c r="L17" s="39"/>
    </row>
    <row r="18" spans="1:12" s="875" customFormat="1">
      <c r="A18" s="39"/>
      <c r="B18" s="55" t="s">
        <v>22</v>
      </c>
      <c r="C18" s="56" t="str">
        <f>BQResto1000!C62</f>
        <v>MATERIAL TAMBAHAN</v>
      </c>
      <c r="D18" s="58"/>
      <c r="E18" s="58"/>
      <c r="F18" s="58"/>
      <c r="G18" s="58"/>
      <c r="H18" s="874">
        <f>BQResto1000!K68</f>
        <v>3500000</v>
      </c>
      <c r="I18" s="39"/>
      <c r="J18" s="39"/>
      <c r="K18" s="39"/>
      <c r="L18" s="39"/>
    </row>
    <row r="19" spans="1:12" s="875" customFormat="1">
      <c r="A19" s="39"/>
      <c r="B19" s="55" t="s">
        <v>25</v>
      </c>
      <c r="C19" s="56" t="str">
        <f>BQResto1000!C69</f>
        <v>PEKERJAAN WIFI</v>
      </c>
      <c r="D19" s="58"/>
      <c r="E19" s="58"/>
      <c r="F19" s="58"/>
      <c r="G19" s="58"/>
      <c r="H19" s="874">
        <f>BQResto1000!K90</f>
        <v>27000000</v>
      </c>
      <c r="I19" s="39"/>
      <c r="J19" s="39"/>
      <c r="K19" s="39"/>
      <c r="L19" s="39"/>
    </row>
    <row r="20" spans="1:12" s="875" customFormat="1">
      <c r="A20" s="39"/>
      <c r="B20" s="55" t="s">
        <v>27</v>
      </c>
      <c r="C20" s="56" t="str">
        <f>BQResto1000!C91</f>
        <v>-</v>
      </c>
      <c r="D20" s="58"/>
      <c r="E20" s="58"/>
      <c r="F20" s="58"/>
      <c r="G20" s="58"/>
      <c r="H20" s="874">
        <f>BQResto1000!K95</f>
        <v>0</v>
      </c>
      <c r="I20" s="39"/>
      <c r="J20" s="39"/>
      <c r="K20" s="39"/>
      <c r="L20" s="39"/>
    </row>
    <row r="21" spans="1:12" s="875" customFormat="1">
      <c r="A21" s="39"/>
      <c r="B21" s="55" t="s">
        <v>28</v>
      </c>
      <c r="C21" s="56" t="str">
        <f>BQResto1000!C97</f>
        <v>PEKERJAAN PABX</v>
      </c>
      <c r="D21" s="58"/>
      <c r="E21" s="58"/>
      <c r="F21" s="58"/>
      <c r="G21" s="58"/>
      <c r="H21" s="874">
        <f>BQResto1000!K107</f>
        <v>17700000</v>
      </c>
      <c r="I21" s="39"/>
      <c r="J21" s="39"/>
      <c r="K21" s="39"/>
      <c r="L21" s="39"/>
    </row>
    <row r="22" spans="1:12" s="875" customFormat="1">
      <c r="A22" s="39"/>
      <c r="B22" s="55" t="s">
        <v>30</v>
      </c>
      <c r="C22" s="56" t="str">
        <f>BQResto1000!C108</f>
        <v>-</v>
      </c>
      <c r="D22" s="58"/>
      <c r="E22" s="58"/>
      <c r="F22" s="58"/>
      <c r="G22" s="58"/>
      <c r="H22" s="874">
        <f>BQResto1000!K121</f>
        <v>0</v>
      </c>
      <c r="I22" s="39"/>
      <c r="J22" s="39"/>
      <c r="K22" s="39"/>
      <c r="L22" s="39"/>
    </row>
    <row r="23" spans="1:12" s="875" customFormat="1">
      <c r="A23" s="39"/>
      <c r="B23" s="55" t="s">
        <v>33</v>
      </c>
      <c r="C23" s="56" t="str">
        <f>BQResto1000!C122</f>
        <v>-</v>
      </c>
      <c r="D23" s="58"/>
      <c r="E23" s="58"/>
      <c r="F23" s="58"/>
      <c r="G23" s="58"/>
      <c r="H23" s="874">
        <f>BQResto1000!K126</f>
        <v>0</v>
      </c>
      <c r="I23" s="39"/>
      <c r="J23" s="39"/>
      <c r="K23" s="39"/>
      <c r="L23" s="39"/>
    </row>
    <row r="24" spans="1:12" s="875" customFormat="1">
      <c r="A24" s="39"/>
      <c r="B24" s="55" t="s">
        <v>34</v>
      </c>
      <c r="C24" s="56" t="str">
        <f>BQResto1000!C127</f>
        <v>-</v>
      </c>
      <c r="D24" s="58"/>
      <c r="E24" s="58"/>
      <c r="F24" s="58"/>
      <c r="G24" s="58"/>
      <c r="H24" s="874">
        <f>BQResto1000!K133</f>
        <v>0</v>
      </c>
      <c r="I24" s="39"/>
      <c r="J24" s="39"/>
      <c r="K24" s="39"/>
      <c r="L24" s="39"/>
    </row>
    <row r="25" spans="1:12" s="875" customFormat="1">
      <c r="A25" s="39"/>
      <c r="B25" s="55" t="s">
        <v>36</v>
      </c>
      <c r="C25" s="56" t="str">
        <f>BQResto1000!C134</f>
        <v>-</v>
      </c>
      <c r="D25" s="58"/>
      <c r="E25" s="58"/>
      <c r="F25" s="58"/>
      <c r="G25" s="58"/>
      <c r="H25" s="874">
        <f>BQResto1000!K142</f>
        <v>0</v>
      </c>
      <c r="I25" s="39"/>
      <c r="J25" s="39"/>
      <c r="K25" s="39"/>
      <c r="L25" s="39"/>
    </row>
    <row r="26" spans="1:12" s="875" customFormat="1">
      <c r="A26" s="39"/>
      <c r="B26" s="55" t="s">
        <v>37</v>
      </c>
      <c r="C26" s="56" t="str">
        <f>BQResto1000!C143</f>
        <v>-</v>
      </c>
      <c r="D26" s="58"/>
      <c r="E26" s="58"/>
      <c r="F26" s="58"/>
      <c r="G26" s="58"/>
      <c r="H26" s="874">
        <f>BQResto1000!K150</f>
        <v>0</v>
      </c>
      <c r="I26" s="39"/>
      <c r="J26" s="39"/>
      <c r="K26" s="39"/>
      <c r="L26" s="39"/>
    </row>
    <row r="27" spans="1:12" s="875" customFormat="1">
      <c r="A27" s="39"/>
      <c r="B27" s="55"/>
      <c r="C27" s="56"/>
      <c r="D27" s="58"/>
      <c r="E27" s="58"/>
      <c r="F27" s="58"/>
      <c r="G27" s="58"/>
      <c r="H27" s="874"/>
      <c r="I27" s="39"/>
      <c r="J27" s="39"/>
      <c r="K27" s="39"/>
      <c r="L27" s="39"/>
    </row>
    <row r="28" spans="1:12" ht="16.5" thickBot="1">
      <c r="B28" s="69"/>
      <c r="C28" s="70"/>
      <c r="D28" s="70"/>
      <c r="E28" s="70"/>
      <c r="F28" s="70"/>
      <c r="G28" s="70"/>
      <c r="H28" s="876"/>
    </row>
    <row r="29" spans="1:12" ht="17.25" thickTop="1" thickBot="1">
      <c r="B29" s="72"/>
      <c r="C29" s="73"/>
      <c r="D29" s="73"/>
      <c r="E29" s="73"/>
      <c r="F29" s="74" t="s">
        <v>41</v>
      </c>
      <c r="G29" s="74"/>
      <c r="H29" s="75">
        <f>SUM(H14:H28)</f>
        <v>89100000</v>
      </c>
    </row>
    <row r="30" spans="1:12" ht="16.5" thickTop="1">
      <c r="B30" s="76"/>
      <c r="C30" s="77"/>
      <c r="D30" s="77"/>
      <c r="E30" s="77"/>
      <c r="F30" s="77"/>
      <c r="G30" s="77"/>
      <c r="H30" s="78"/>
    </row>
    <row r="31" spans="1:12">
      <c r="B31" s="79"/>
      <c r="C31" s="56"/>
      <c r="D31" s="56"/>
      <c r="E31" s="58"/>
      <c r="F31" s="40"/>
      <c r="G31" s="43"/>
      <c r="H31" s="877"/>
    </row>
    <row r="32" spans="1:12">
      <c r="B32" s="81"/>
      <c r="C32" s="41"/>
      <c r="E32" s="44"/>
      <c r="H32" s="82"/>
    </row>
    <row r="33" spans="2:8">
      <c r="B33" s="81"/>
      <c r="C33" s="41"/>
      <c r="E33" s="44"/>
      <c r="H33" s="878"/>
    </row>
    <row r="34" spans="2:8" ht="16.5" thickBot="1">
      <c r="B34" s="84"/>
      <c r="C34" s="85"/>
      <c r="D34" s="85"/>
      <c r="E34" s="85"/>
      <c r="F34" s="85"/>
      <c r="G34" s="85"/>
      <c r="H34" s="86"/>
    </row>
    <row r="35" spans="2:8" ht="16.5" thickTop="1"/>
  </sheetData>
  <mergeCells count="1">
    <mergeCell ref="F8:H8"/>
  </mergeCells>
  <pageMargins left="0.7" right="0.7" top="0.75" bottom="0.75" header="0.3" footer="0.3"/>
  <pageSetup paperSize="9" scale="68" fitToHeight="5" orientation="portrait" r:id="rId1"/>
  <headerFooter>
    <oddFooter>&amp;L&amp;D&amp;CPage &amp;P of &amp;N&amp;R&amp;F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59</vt:i4>
      </vt:variant>
      <vt:variant>
        <vt:lpstr>Named Ranges</vt:lpstr>
      </vt:variant>
      <vt:variant>
        <vt:i4>31</vt:i4>
      </vt:variant>
    </vt:vector>
  </HeadingPairs>
  <TitlesOfParts>
    <vt:vector size="90" baseType="lpstr">
      <vt:lpstr>TBEL</vt:lpstr>
      <vt:lpstr>SUMBQ BLOK A</vt:lpstr>
      <vt:lpstr>01SumBQRes200</vt:lpstr>
      <vt:lpstr>BQresto 200</vt:lpstr>
      <vt:lpstr>02SumBQRes300</vt:lpstr>
      <vt:lpstr>BQResto300</vt:lpstr>
      <vt:lpstr>03SumBQResto400</vt:lpstr>
      <vt:lpstr>BQResto400</vt:lpstr>
      <vt:lpstr>04SumResto1000</vt:lpstr>
      <vt:lpstr>BQResto1000</vt:lpstr>
      <vt:lpstr>05SumSaung</vt:lpstr>
      <vt:lpstr>BQSaung</vt:lpstr>
      <vt:lpstr>06SumCafe200</vt:lpstr>
      <vt:lpstr>BQCafe200</vt:lpstr>
      <vt:lpstr>07SumMasjid</vt:lpstr>
      <vt:lpstr>BQMasjid (2)</vt:lpstr>
      <vt:lpstr>08SumKios</vt:lpstr>
      <vt:lpstr>BqKios</vt:lpstr>
      <vt:lpstr>09SumPustInf</vt:lpstr>
      <vt:lpstr>BQ2Pst inform</vt:lpstr>
      <vt:lpstr>10SumToilet30</vt:lpstr>
      <vt:lpstr>BQToilet30</vt:lpstr>
      <vt:lpstr>11SumToilet34</vt:lpstr>
      <vt:lpstr>BQToilet34</vt:lpstr>
      <vt:lpstr>12SumKomodo</vt:lpstr>
      <vt:lpstr>BQKomodo</vt:lpstr>
      <vt:lpstr>13SumPOSPOL</vt:lpstr>
      <vt:lpstr>BQPospol</vt:lpstr>
      <vt:lpstr>14SumPustKeama</vt:lpstr>
      <vt:lpstr>BQPustKeamanan</vt:lpstr>
      <vt:lpstr>15SUMPosjaga5x5</vt:lpstr>
      <vt:lpstr>Bq Pos Jaga5x5</vt:lpstr>
      <vt:lpstr>16SumTitikPandang</vt:lpstr>
      <vt:lpstr>BQTitikPandang</vt:lpstr>
      <vt:lpstr>17SumJembPdg</vt:lpstr>
      <vt:lpstr>BQJembatanpandang</vt:lpstr>
      <vt:lpstr>18SumkLINIK</vt:lpstr>
      <vt:lpstr>BQKlinik</vt:lpstr>
      <vt:lpstr>19SumBQDamkar</vt:lpstr>
      <vt:lpstr>BQDamkar</vt:lpstr>
      <vt:lpstr>20SumRTungguBis</vt:lpstr>
      <vt:lpstr>BQTungguBis</vt:lpstr>
      <vt:lpstr>21 Ipal</vt:lpstr>
      <vt:lpstr>22SUMTPS</vt:lpstr>
      <vt:lpstr>BQTPS </vt:lpstr>
      <vt:lpstr>23SUMUnitAB</vt:lpstr>
      <vt:lpstr>BQUnitAB</vt:lpstr>
      <vt:lpstr>24SUMGardupln</vt:lpstr>
      <vt:lpstr>Bq Gardupln</vt:lpstr>
      <vt:lpstr>AnResto200</vt:lpstr>
      <vt:lpstr>AnResto300</vt:lpstr>
      <vt:lpstr>AnCafe200</vt:lpstr>
      <vt:lpstr>ARS 118</vt:lpstr>
      <vt:lpstr>PSTINFORM</vt:lpstr>
      <vt:lpstr>An Komodo</vt:lpstr>
      <vt:lpstr>An RESTO  400</vt:lpstr>
      <vt:lpstr>AnKios</vt:lpstr>
      <vt:lpstr>ARS 110</vt:lpstr>
      <vt:lpstr> ARS 118 </vt:lpstr>
      <vt:lpstr>'01SumBQRes200'!Print_Area</vt:lpstr>
      <vt:lpstr>'02SumBQRes300'!Print_Area</vt:lpstr>
      <vt:lpstr>'03SumBQResto400'!Print_Area</vt:lpstr>
      <vt:lpstr>'04SumResto1000'!Print_Area</vt:lpstr>
      <vt:lpstr>'05SumSaung'!Print_Area</vt:lpstr>
      <vt:lpstr>'06SumCafe200'!Print_Area</vt:lpstr>
      <vt:lpstr>'07SumMasjid'!Print_Area</vt:lpstr>
      <vt:lpstr>'08SumKios'!Print_Area</vt:lpstr>
      <vt:lpstr>'09SumPustInf'!Print_Area</vt:lpstr>
      <vt:lpstr>'10SumToilet30'!Print_Area</vt:lpstr>
      <vt:lpstr>'11SumToilet34'!Print_Area</vt:lpstr>
      <vt:lpstr>'12SumKomodo'!Print_Area</vt:lpstr>
      <vt:lpstr>'13SumPOSPOL'!Print_Area</vt:lpstr>
      <vt:lpstr>'14SumPustKeama'!Print_Area</vt:lpstr>
      <vt:lpstr>'15SUMPosjaga5x5'!Print_Area</vt:lpstr>
      <vt:lpstr>'16SumTitikPandang'!Print_Area</vt:lpstr>
      <vt:lpstr>'17SumJembPdg'!Print_Area</vt:lpstr>
      <vt:lpstr>'18SumkLINIK'!Print_Area</vt:lpstr>
      <vt:lpstr>'19SumBQDamkar'!Print_Area</vt:lpstr>
      <vt:lpstr>'20SumRTungguBis'!Print_Area</vt:lpstr>
      <vt:lpstr>'21 Ipal'!Print_Area</vt:lpstr>
      <vt:lpstr>'22SUMTPS'!Print_Area</vt:lpstr>
      <vt:lpstr>'23SUMUnitAB'!Print_Area</vt:lpstr>
      <vt:lpstr>'24SUMGardupln'!Print_Area</vt:lpstr>
      <vt:lpstr>AnCafe200!Print_Area</vt:lpstr>
      <vt:lpstr>AnResto200!Print_Area</vt:lpstr>
      <vt:lpstr>AnResto300!Print_Area</vt:lpstr>
      <vt:lpstr>'ARS 110'!Print_Area</vt:lpstr>
      <vt:lpstr>'BQresto 200'!Print_Area</vt:lpstr>
      <vt:lpstr>'SUMBQ BLOK A'!Print_Area</vt:lpstr>
      <vt:lpstr>'SUMBQ BLOK A'!Print_Titles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Heru Prabowo</dc:creator>
  <cp:lastModifiedBy>PT SKD</cp:lastModifiedBy>
  <dcterms:created xsi:type="dcterms:W3CDTF">2021-02-07T03:13:04Z</dcterms:created>
  <dcterms:modified xsi:type="dcterms:W3CDTF">2021-03-25T09:29:23Z</dcterms:modified>
</cp:coreProperties>
</file>